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3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4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drawings/drawing5.xml" ContentType="application/vnd.openxmlformats-officedocument.drawing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drawings/drawing6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drawings/drawing7.xml" ContentType="application/vnd.openxmlformats-officedocument.drawing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drawings/drawing8.xml" ContentType="application/vnd.openxmlformats-officedocument.drawing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drawings/drawing9.xml" ContentType="application/vnd.openxmlformats-officedocument.drawing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drawings/drawing10.xml" ContentType="application/vnd.openxmlformats-officedocument.drawing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drawings/drawing11.xml" ContentType="application/vnd.openxmlformats-officedocument.drawing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drawings/drawing12.xml" ContentType="application/vnd.openxmlformats-officedocument.drawing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drawings/drawing13.xml" ContentType="application/vnd.openxmlformats-officedocument.drawing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drawings/drawing14.xml" ContentType="application/vnd.openxmlformats-officedocument.drawing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drawings/drawing15.xml" ContentType="application/vnd.openxmlformats-officedocument.drawing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drawings/drawing16.xml" ContentType="application/vnd.openxmlformats-officedocument.drawing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17.xml" ContentType="application/vnd.openxmlformats-officedocument.drawing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drawings/drawing18.xml" ContentType="application/vnd.openxmlformats-officedocument.drawing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drawings/drawing19.xml" ContentType="application/vnd.openxmlformats-officedocument.drawing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drawings/drawing20.xml" ContentType="application/vnd.openxmlformats-officedocument.drawing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drawings/drawing21.xml" ContentType="application/vnd.openxmlformats-officedocument.drawing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drawings/drawing22.xml" ContentType="application/vnd.openxmlformats-officedocument.drawing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drawings/drawing23.xml" ContentType="application/vnd.openxmlformats-officedocument.drawing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drawings/drawing24.xml" ContentType="application/vnd.openxmlformats-officedocument.drawing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KU2018\TEXT\TEXT\"/>
    </mc:Choice>
  </mc:AlternateContent>
  <bookViews>
    <workbookView xWindow="240" yWindow="45" windowWidth="20115" windowHeight="7995" tabRatio="500" firstSheet="9" activeTab="14"/>
  </bookViews>
  <sheets>
    <sheet name="KASUS1" sheetId="27" r:id="rId1"/>
    <sheet name="KASUS2" sheetId="32" r:id="rId2"/>
    <sheet name="KASUS3" sheetId="28" r:id="rId3"/>
    <sheet name="KASUS4" sheetId="4" r:id="rId4"/>
    <sheet name="KASUS5" sheetId="16" r:id="rId5"/>
    <sheet name="KASUS6" sheetId="13" r:id="rId6"/>
    <sheet name="KASUS7" sheetId="18" r:id="rId7"/>
    <sheet name="KASUS8" sheetId="29" r:id="rId8"/>
    <sheet name="KASUS9" sheetId="6" r:id="rId9"/>
    <sheet name="KASUS10" sheetId="7" r:id="rId10"/>
    <sheet name="KASUS11" sheetId="33" r:id="rId11"/>
    <sheet name="KASUS12" sheetId="49" r:id="rId12"/>
    <sheet name="KASUS13" sheetId="8" r:id="rId13"/>
    <sheet name="KASUS14" sheetId="9" r:id="rId14"/>
    <sheet name="KASUS15" sheetId="11" r:id="rId15"/>
    <sheet name="KASUS16" sheetId="41" r:id="rId16"/>
    <sheet name="KASUS17" sheetId="38" r:id="rId17"/>
    <sheet name="KASUS18" sheetId="39" r:id="rId18"/>
    <sheet name="KASUS19" sheetId="40" r:id="rId19"/>
    <sheet name="KASUS20" sheetId="23" r:id="rId20"/>
    <sheet name="KASUS21" sheetId="26" r:id="rId21"/>
    <sheet name="KASUS22" sheetId="43" r:id="rId22"/>
    <sheet name="KASUS23" sheetId="25" r:id="rId23"/>
    <sheet name="KASUS24" sheetId="45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_IntlFixup" hidden="1">TRUE</definedName>
    <definedName name="AccessDatabase" hidden="1">"C:\My Documents\MAUI MALL1.mdb"</definedName>
    <definedName name="ACwvu.CapersView." localSheetId="11" hidden="1">[1]MASTER!#REF!</definedName>
    <definedName name="ACwvu.CapersView." localSheetId="15" hidden="1">[1]MASTER!#REF!</definedName>
    <definedName name="ACwvu.CapersView." localSheetId="23" hidden="1">[1]MASTER!#REF!</definedName>
    <definedName name="ACwvu.CapersView." hidden="1">[1]MASTER!#REF!</definedName>
    <definedName name="ACwvu.Japan_Capers_Ed_Pub." localSheetId="11" hidden="1">#REF!</definedName>
    <definedName name="ACwvu.Japan_Capers_Ed_Pub." localSheetId="15" hidden="1">#REF!</definedName>
    <definedName name="ACwvu.Japan_Capers_Ed_Pub." localSheetId="23" hidden="1">#REF!</definedName>
    <definedName name="ACwvu.Japan_Capers_Ed_Pub." hidden="1">#REF!</definedName>
    <definedName name="ACwvu.KJP_CC." localSheetId="11" hidden="1">#REF!</definedName>
    <definedName name="ACwvu.KJP_CC." localSheetId="15" hidden="1">#REF!</definedName>
    <definedName name="ACwvu.KJP_CC." localSheetId="23" hidden="1">#REF!</definedName>
    <definedName name="ACwvu.KJP_CC." hidden="1">#REF!</definedName>
    <definedName name="ANGSURAN">[2]KASUS7!$O$4:$S$5</definedName>
    <definedName name="anscount" hidden="1">1</definedName>
    <definedName name="BULAN">[3]KASUS2!$P$11:$Q$22</definedName>
    <definedName name="Button_15">"MAUI_MALL_MAUI_MALLARD_INPUT_List"</definedName>
    <definedName name="Button_16">"MAUI_MALL_MAUI_MALLARD_INPUT_List"</definedName>
    <definedName name="Cwvu.CapersView." localSheetId="11" hidden="1">[1]MASTER!#REF!</definedName>
    <definedName name="Cwvu.CapersView." localSheetId="15" hidden="1">[1]MASTER!#REF!</definedName>
    <definedName name="Cwvu.CapersView." localSheetId="23" hidden="1">[1]MASTER!#REF!</definedName>
    <definedName name="Cwvu.CapersView." hidden="1">[1]MASTER!#REF!</definedName>
    <definedName name="Cwvu.Japan_Capers_Ed_Pub." localSheetId="11" hidden="1">[1]MASTER!#REF!</definedName>
    <definedName name="Cwvu.Japan_Capers_Ed_Pub." localSheetId="15" hidden="1">[1]MASTER!#REF!</definedName>
    <definedName name="Cwvu.Japan_Capers_Ed_Pub." localSheetId="23" hidden="1">[1]MASTER!#REF!</definedName>
    <definedName name="Cwvu.Japan_Capers_Ed_Pub." hidden="1">[1]MASTER!#REF!</definedName>
    <definedName name="Cwvu.KJP_CC." localSheetId="1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ISKONTO">KASUS19!$V$6:$Z$21</definedName>
    <definedName name="GANT_PREP" localSheetId="11">'[4]RESOURCE MODEL'!#REF!,'[4]RESOURCE MODEL'!#REF!,'[4]RESOURCE MODEL'!#REF!</definedName>
    <definedName name="GANT_PREP" localSheetId="15">'[4]RESOURCE MODEL'!#REF!,'[4]RESOURCE MODEL'!#REF!,'[4]RESOURCE MODEL'!#REF!</definedName>
    <definedName name="GANT_PREP" localSheetId="23">'[4]RESOURCE MODEL'!#REF!,'[4]RESOURCE MODEL'!#REF!,'[4]RESOURCE MODEL'!#REF!</definedName>
    <definedName name="GANT_PREP">'[4]RESOURCE MODEL'!#REF!,'[4]RESOURCE MODEL'!#REF!,'[4]RESOURCE MODEL'!#REF!</definedName>
    <definedName name="HARGA">[2]KASUS7!$K$6:$S$14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limcount" hidden="1">1</definedName>
    <definedName name="PAYBACK">KASUS17!$C$5:$E$14</definedName>
    <definedName name="Penyusutan">[3]KASUS11x!$C$13:$G$23</definedName>
    <definedName name="Rwvu.CapersView." localSheetId="11" hidden="1">#REF!</definedName>
    <definedName name="Rwvu.CapersView." localSheetId="15" hidden="1">#REF!</definedName>
    <definedName name="Rwvu.CapersView." localSheetId="23" hidden="1">#REF!</definedName>
    <definedName name="Rwvu.CapersView." hidden="1">#REF!</definedName>
    <definedName name="Rwvu.Japan_Capers_Ed_Pub." localSheetId="11" hidden="1">#REF!</definedName>
    <definedName name="Rwvu.Japan_Capers_Ed_Pub." localSheetId="15" hidden="1">#REF!</definedName>
    <definedName name="Rwvu.Japan_Capers_Ed_Pub." localSheetId="23" hidden="1">#REF!</definedName>
    <definedName name="Rwvu.Japan_Capers_Ed_Pub." hidden="1">#REF!</definedName>
    <definedName name="Rwvu.KJP_CC." localSheetId="11" hidden="1">#REF!</definedName>
    <definedName name="Rwvu.KJP_CC." localSheetId="15" hidden="1">#REF!</definedName>
    <definedName name="Rwvu.KJP_CC." localSheetId="23" hidden="1">#REF!</definedName>
    <definedName name="Rwvu.KJP_CC." hidden="1">#REF!</definedName>
    <definedName name="sencount" hidden="1">1</definedName>
    <definedName name="solver_ver">1.3</definedName>
    <definedName name="ss" localSheetId="11" hidden="1">[1]MASTER!#REF!</definedName>
    <definedName name="ss" localSheetId="15" hidden="1">[1]MASTER!#REF!</definedName>
    <definedName name="ss" localSheetId="23" hidden="1">[1]MASTER!#REF!</definedName>
    <definedName name="ss" hidden="1">[1]MASTER!#REF!</definedName>
    <definedName name="Swvu.CapersView." localSheetId="11" hidden="1">[1]MASTER!#REF!</definedName>
    <definedName name="Swvu.CapersView." localSheetId="15" hidden="1">[1]MASTER!#REF!</definedName>
    <definedName name="Swvu.CapersView." localSheetId="23" hidden="1">[1]MASTER!#REF!</definedName>
    <definedName name="Swvu.CapersView." hidden="1">[1]MASTER!#REF!</definedName>
    <definedName name="Swvu.Japan_Capers_Ed_Pub." localSheetId="11" hidden="1">#REF!</definedName>
    <definedName name="Swvu.Japan_Capers_Ed_Pub." localSheetId="15" hidden="1">#REF!</definedName>
    <definedName name="Swvu.Japan_Capers_Ed_Pub." localSheetId="23" hidden="1">#REF!</definedName>
    <definedName name="Swvu.Japan_Capers_Ed_Pub." hidden="1">#REF!</definedName>
    <definedName name="Swvu.KJP_CC." localSheetId="11" hidden="1">#REF!</definedName>
    <definedName name="Swvu.KJP_CC." localSheetId="15" hidden="1">#REF!</definedName>
    <definedName name="Swvu.KJP_CC." localSheetId="23" hidden="1">#REF!</definedName>
    <definedName name="Swvu.KJP_CC." hidden="1">#REF!</definedName>
    <definedName name="TABEL1">[5]KASUS2!$AC$13:$BB$73</definedName>
    <definedName name="trte" hidden="1">{#N/A,#N/A,FALSE,"PRJCTED QTRLY $'s"}</definedName>
    <definedName name="v" hidden="1">{"'PRODUCTIONCOST SHEET'!$B$3:$G$48"}</definedName>
    <definedName name="vvv" hidden="1">{"Japan_Capers_Ed_Pub",#N/A,FALSE,"DI 2 YEAR MASTER SCHEDULE"}</definedName>
    <definedName name="vvvv" hidden="1">{#N/A,#N/A,FALSE,"PRJCTED MNTHLY QTY's"}</definedName>
    <definedName name="WAKTU">[5]KASUS12!$X$10:$Z$14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[6]lookup_trend!$D$2:$D$14</definedName>
    <definedName name="XDDDD" localSheetId="11" hidden="1">[1]MASTER!#REF!</definedName>
    <definedName name="XDDDD" localSheetId="15" hidden="1">[1]MASTER!#REF!</definedName>
    <definedName name="XDDDD" localSheetId="23" hidden="1">[1]MASTER!#REF!</definedName>
    <definedName name="XDDDD" hidden="1">[1]MASTER!#REF!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11" hidden="1">#REF!</definedName>
    <definedName name="Z_9A428CE1_B4D9_11D0_A8AA_0000C071AEE7_.wvu.PrintArea" localSheetId="15" hidden="1">#REF!</definedName>
    <definedName name="Z_9A428CE1_B4D9_11D0_A8AA_0000C071AEE7_.wvu.PrintArea" localSheetId="23" hidden="1">#REF!</definedName>
    <definedName name="Z_9A428CE1_B4D9_11D0_A8AA_0000C071AEE7_.wvu.PrintArea" hidden="1">#REF!</definedName>
    <definedName name="Z_9A428CE1_B4D9_11D0_A8AA_0000C071AEE7_.wvu.Rows" localSheetId="11" hidden="1">[1]MASTER!#REF!,[1]MASTER!#REF!,[1]MASTER!#REF!,[1]MASTER!#REF!,[1]MASTER!#REF!,[1]MASTER!#REF!,[1]MASTER!#REF!,[1]MASTER!$A$98:$IV$272</definedName>
    <definedName name="Z_9A428CE1_B4D9_11D0_A8AA_0000C071AEE7_.wvu.Rows" localSheetId="15" hidden="1">[1]MASTER!#REF!,[1]MASTER!#REF!,[1]MASTER!#REF!,[1]MASTER!#REF!,[1]MASTER!#REF!,[1]MASTER!#REF!,[1]MASTER!#REF!,[1]MASTER!$A$98:$IV$272</definedName>
    <definedName name="Z_9A428CE1_B4D9_11D0_A8AA_0000C071AEE7_.wvu.Rows" localSheetId="23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</workbook>
</file>

<file path=xl/calcChain.xml><?xml version="1.0" encoding="utf-8"?>
<calcChain xmlns="http://schemas.openxmlformats.org/spreadsheetml/2006/main">
  <c r="K14" i="45" l="1"/>
  <c r="N7" i="45"/>
  <c r="M4" i="45"/>
  <c r="Q11" i="25" l="1"/>
  <c r="L11" i="25"/>
  <c r="W12" i="43" l="1"/>
  <c r="AB8" i="43"/>
  <c r="J25" i="26"/>
  <c r="H19" i="23"/>
  <c r="H16" i="23"/>
  <c r="H14" i="23"/>
  <c r="B6" i="41"/>
  <c r="I14" i="11"/>
  <c r="H30" i="11"/>
  <c r="B12" i="9" l="1"/>
  <c r="D9" i="49"/>
  <c r="G8" i="49"/>
  <c r="L13" i="49" s="1"/>
  <c r="D8" i="49"/>
  <c r="I8" i="49" s="1"/>
  <c r="D7" i="49"/>
  <c r="N17" i="49" s="1"/>
  <c r="I5" i="49"/>
  <c r="I9" i="49" s="1"/>
  <c r="D5" i="49"/>
  <c r="I4" i="49" s="1"/>
  <c r="G4" i="49"/>
  <c r="G13" i="49" s="1"/>
  <c r="D4" i="49"/>
  <c r="I17" i="49" s="1"/>
  <c r="J34" i="7"/>
  <c r="B7" i="29"/>
  <c r="B9" i="25"/>
  <c r="H19" i="25"/>
  <c r="H4" i="25"/>
  <c r="D3" i="25"/>
  <c r="B10" i="26"/>
  <c r="B8" i="40"/>
  <c r="B7" i="39"/>
  <c r="B10" i="33"/>
  <c r="B11" i="7"/>
  <c r="M32" i="7"/>
  <c r="O19" i="8"/>
  <c r="M35" i="33"/>
  <c r="J4" i="49" l="1"/>
  <c r="B14" i="49"/>
  <c r="B10" i="49"/>
  <c r="I6" i="49"/>
  <c r="I14" i="49"/>
  <c r="I16" i="49" s="1"/>
  <c r="I19" i="49" s="1"/>
  <c r="I10" i="49"/>
  <c r="N14" i="49"/>
  <c r="N16" i="49" s="1"/>
  <c r="N19" i="49" s="1"/>
  <c r="N18" i="49"/>
  <c r="I18" i="49"/>
  <c r="J8" i="49"/>
  <c r="J14" i="49"/>
  <c r="P14" i="49"/>
  <c r="L23" i="18"/>
  <c r="J23" i="49" l="1"/>
  <c r="J24" i="49"/>
  <c r="K24" i="49"/>
  <c r="K23" i="49"/>
  <c r="B13" i="13"/>
  <c r="B17" i="16"/>
  <c r="B15" i="28"/>
  <c r="B15" i="18"/>
  <c r="B12" i="18"/>
  <c r="L22" i="18"/>
  <c r="B9" i="13"/>
  <c r="B13" i="16"/>
  <c r="B7" i="27"/>
  <c r="D9" i="45" l="1"/>
  <c r="D8" i="45"/>
  <c r="J9" i="45" s="1"/>
  <c r="D13" i="45" l="1"/>
  <c r="F9" i="45"/>
  <c r="Q6" i="45" s="1"/>
  <c r="F8" i="45"/>
  <c r="P6" i="45" s="1"/>
  <c r="F7" i="45"/>
  <c r="O6" i="45" s="1"/>
  <c r="F6" i="45"/>
  <c r="N6" i="45" s="1"/>
  <c r="D6" i="45"/>
  <c r="D12" i="45" s="1"/>
  <c r="F5" i="45"/>
  <c r="M6" i="45" s="1"/>
  <c r="D5" i="45"/>
  <c r="D4" i="45"/>
  <c r="D11" i="45" s="1"/>
  <c r="W11" i="43"/>
  <c r="AB6" i="43"/>
  <c r="L18" i="43"/>
  <c r="H8" i="43"/>
  <c r="H19" i="43" s="1"/>
  <c r="H7" i="43"/>
  <c r="H18" i="43" s="1"/>
  <c r="D6" i="43"/>
  <c r="L6" i="43" s="1"/>
  <c r="AA6" i="43" s="1"/>
  <c r="D4" i="43"/>
  <c r="D5" i="43"/>
  <c r="L5" i="43" s="1"/>
  <c r="AA5" i="43" s="1"/>
  <c r="D3" i="43"/>
  <c r="L17" i="43" s="1"/>
  <c r="J22" i="43" s="1"/>
  <c r="M5" i="40"/>
  <c r="M5" i="39"/>
  <c r="D4" i="41"/>
  <c r="D3" i="41"/>
  <c r="D3" i="40"/>
  <c r="D4" i="40"/>
  <c r="I4" i="40"/>
  <c r="P5" i="40"/>
  <c r="D6" i="40"/>
  <c r="I6" i="40" s="1"/>
  <c r="K14" i="40" s="1"/>
  <c r="W6" i="40"/>
  <c r="Y6" i="40"/>
  <c r="Z6" i="40" s="1"/>
  <c r="V7" i="40"/>
  <c r="W7" i="40"/>
  <c r="V8" i="40"/>
  <c r="N12" i="40"/>
  <c r="N13" i="40"/>
  <c r="K15" i="40"/>
  <c r="D3" i="39"/>
  <c r="D4" i="39"/>
  <c r="Q5" i="39" s="1"/>
  <c r="H4" i="39"/>
  <c r="D6" i="39"/>
  <c r="H6" i="39" s="1"/>
  <c r="J14" i="39" s="1"/>
  <c r="D4" i="38"/>
  <c r="D5" i="38"/>
  <c r="E5" i="38" s="1"/>
  <c r="K5" i="38"/>
  <c r="L5" i="38" s="1"/>
  <c r="D6" i="38"/>
  <c r="E6" i="38"/>
  <c r="D7" i="38"/>
  <c r="D8" i="38"/>
  <c r="D9" i="38"/>
  <c r="D10" i="38"/>
  <c r="D11" i="38"/>
  <c r="D12" i="38"/>
  <c r="D13" i="38"/>
  <c r="D14" i="38"/>
  <c r="E14" i="38" l="1"/>
  <c r="E13" i="38"/>
  <c r="E10" i="38"/>
  <c r="E7" i="38"/>
  <c r="W8" i="40"/>
  <c r="D3" i="45"/>
  <c r="K19" i="45" s="1"/>
  <c r="K23" i="45" s="1"/>
  <c r="K18" i="45"/>
  <c r="O7" i="45"/>
  <c r="O8" i="45" s="1"/>
  <c r="O9" i="45" s="1"/>
  <c r="O10" i="45" s="1"/>
  <c r="Q7" i="45"/>
  <c r="Q8" i="45" s="1"/>
  <c r="Q9" i="45" s="1"/>
  <c r="Q10" i="45" s="1"/>
  <c r="N8" i="45"/>
  <c r="N9" i="45" s="1"/>
  <c r="N10" i="45" s="1"/>
  <c r="P7" i="45"/>
  <c r="P8" i="45" s="1"/>
  <c r="P9" i="45" s="1"/>
  <c r="P10" i="45" s="1"/>
  <c r="M7" i="45"/>
  <c r="M8" i="45" s="1"/>
  <c r="M9" i="45" s="1"/>
  <c r="M10" i="45" s="1"/>
  <c r="AD8" i="43"/>
  <c r="X10" i="43" s="1"/>
  <c r="I19" i="43"/>
  <c r="W5" i="43"/>
  <c r="AD5" i="43"/>
  <c r="X11" i="43" s="1"/>
  <c r="L19" i="43"/>
  <c r="Q19" i="43"/>
  <c r="L7" i="43"/>
  <c r="I5" i="43"/>
  <c r="O5" i="43"/>
  <c r="I17" i="40"/>
  <c r="I18" i="40" s="1"/>
  <c r="V9" i="40"/>
  <c r="X9" i="40" s="1"/>
  <c r="Y9" i="40" s="1"/>
  <c r="X8" i="40"/>
  <c r="W9" i="40"/>
  <c r="Y8" i="40"/>
  <c r="K16" i="40"/>
  <c r="X7" i="40"/>
  <c r="Y7" i="40" s="1"/>
  <c r="Z7" i="40" s="1"/>
  <c r="J16" i="39"/>
  <c r="O13" i="39"/>
  <c r="O12" i="39"/>
  <c r="J15" i="39"/>
  <c r="H17" i="39"/>
  <c r="H18" i="39" s="1"/>
  <c r="G7" i="41"/>
  <c r="H5" i="41"/>
  <c r="H6" i="41"/>
  <c r="E12" i="38"/>
  <c r="E11" i="38"/>
  <c r="E9" i="38"/>
  <c r="E8" i="38"/>
  <c r="L4" i="38" s="1"/>
  <c r="V10" i="40"/>
  <c r="B14" i="45" l="1"/>
  <c r="G6" i="38"/>
  <c r="H7" i="41"/>
  <c r="H10" i="41"/>
  <c r="K15" i="45"/>
  <c r="K22" i="45" s="1"/>
  <c r="K24" i="45" s="1"/>
  <c r="J27" i="45" s="1"/>
  <c r="K13" i="45"/>
  <c r="I23" i="43"/>
  <c r="J21" i="43"/>
  <c r="I12" i="43"/>
  <c r="I10" i="43"/>
  <c r="N10" i="43"/>
  <c r="I11" i="43" s="1"/>
  <c r="I13" i="43" s="1"/>
  <c r="Z9" i="40"/>
  <c r="Z8" i="40"/>
  <c r="I21" i="40"/>
  <c r="F8" i="38"/>
  <c r="W10" i="40"/>
  <c r="V11" i="40"/>
  <c r="X10" i="40"/>
  <c r="Y10" i="40" s="1"/>
  <c r="Z10" i="40" s="1"/>
  <c r="X11" i="40" l="1"/>
  <c r="V12" i="40"/>
  <c r="W11" i="40"/>
  <c r="G8" i="38"/>
  <c r="F15" i="38"/>
  <c r="Y11" i="40" l="1"/>
  <c r="Z11" i="40" s="1"/>
  <c r="X12" i="40"/>
  <c r="V13" i="40"/>
  <c r="W12" i="40"/>
  <c r="G9" i="38"/>
  <c r="G15" i="38" s="1"/>
  <c r="H9" i="38"/>
  <c r="H11" i="38" s="1"/>
  <c r="Y12" i="40" l="1"/>
  <c r="Z12" i="40" s="1"/>
  <c r="X13" i="40"/>
  <c r="V14" i="40"/>
  <c r="W13" i="40"/>
  <c r="Y13" i="40" s="1"/>
  <c r="Z13" i="40" s="1"/>
  <c r="I9" i="38"/>
  <c r="I11" i="38" s="1"/>
  <c r="K9" i="38"/>
  <c r="K10" i="38" s="1"/>
  <c r="M9" i="38"/>
  <c r="G11" i="38"/>
  <c r="J9" i="38"/>
  <c r="L9" i="38"/>
  <c r="J10" i="38"/>
  <c r="L10" i="38"/>
  <c r="J11" i="38" l="1"/>
  <c r="J12" i="38" s="1"/>
  <c r="G13" i="38"/>
  <c r="X14" i="40"/>
  <c r="V15" i="40"/>
  <c r="W14" i="40"/>
  <c r="H13" i="38" l="1"/>
  <c r="Y14" i="40"/>
  <c r="Z14" i="40" s="1"/>
  <c r="X15" i="40"/>
  <c r="V16" i="40"/>
  <c r="W15" i="40"/>
  <c r="H16" i="38"/>
  <c r="Y15" i="40" l="1"/>
  <c r="Z15" i="40" s="1"/>
  <c r="X16" i="40"/>
  <c r="V17" i="40"/>
  <c r="W16" i="40"/>
  <c r="Y16" i="40" l="1"/>
  <c r="Z16" i="40" s="1"/>
  <c r="X17" i="40"/>
  <c r="V18" i="40"/>
  <c r="W17" i="40"/>
  <c r="Y17" i="40" l="1"/>
  <c r="Z17" i="40" s="1"/>
  <c r="X18" i="40"/>
  <c r="W18" i="40"/>
  <c r="V19" i="40"/>
  <c r="Y18" i="40" l="1"/>
  <c r="Z18" i="40" s="1"/>
  <c r="W19" i="40"/>
  <c r="V20" i="40"/>
  <c r="X19" i="40"/>
  <c r="Y19" i="40" l="1"/>
  <c r="Z19" i="40" s="1"/>
  <c r="X20" i="40"/>
  <c r="V21" i="40"/>
  <c r="W20" i="40"/>
  <c r="Y20" i="40" l="1"/>
  <c r="Z20" i="40" s="1"/>
  <c r="X21" i="40"/>
  <c r="W21" i="40"/>
  <c r="Y21" i="40" l="1"/>
  <c r="Z21" i="40" s="1"/>
  <c r="U23" i="40"/>
  <c r="V25" i="40"/>
  <c r="V27" i="40" s="1"/>
  <c r="W25" i="40"/>
  <c r="W26" i="40"/>
  <c r="W28" i="40"/>
  <c r="W27" i="40"/>
  <c r="V29" i="40" l="1"/>
  <c r="V32" i="40"/>
  <c r="D3" i="33" l="1"/>
  <c r="D4" i="33"/>
  <c r="J4" i="33"/>
  <c r="D5" i="33"/>
  <c r="J5" i="33"/>
  <c r="J14" i="33" s="1"/>
  <c r="D6" i="33"/>
  <c r="J6" i="33"/>
  <c r="D7" i="33"/>
  <c r="J7" i="33"/>
  <c r="S14" i="33" s="1"/>
  <c r="D8" i="33"/>
  <c r="J8" i="33"/>
  <c r="D9" i="33"/>
  <c r="J9" i="33"/>
  <c r="Z14" i="33" s="1"/>
  <c r="N14" i="33"/>
  <c r="W14" i="33"/>
  <c r="AB14" i="33"/>
  <c r="N15" i="33"/>
  <c r="S15" i="33"/>
  <c r="W15" i="33" s="1"/>
  <c r="Z15" i="33" s="1"/>
  <c r="N17" i="33"/>
  <c r="J18" i="33"/>
  <c r="N21" i="33"/>
  <c r="I25" i="33" s="1"/>
  <c r="J23" i="33"/>
  <c r="J26" i="33"/>
  <c r="P26" i="33"/>
  <c r="J35" i="33" l="1"/>
  <c r="J22" i="33"/>
  <c r="J19" i="33"/>
  <c r="L26" i="33" l="1"/>
  <c r="L27" i="33"/>
  <c r="J28" i="33" l="1"/>
  <c r="J32" i="33" l="1"/>
  <c r="J38" i="33"/>
  <c r="J31" i="33"/>
  <c r="D5" i="6"/>
  <c r="E8" i="32"/>
  <c r="E4" i="32"/>
  <c r="E6" i="32"/>
  <c r="E7" i="32" s="1"/>
  <c r="D6" i="29"/>
  <c r="D5" i="29"/>
  <c r="H6" i="29" s="1"/>
  <c r="D4" i="29"/>
  <c r="D3" i="29"/>
  <c r="H4" i="29" s="1"/>
  <c r="H5" i="29" s="1"/>
  <c r="H9" i="28"/>
  <c r="X15" i="28" s="1"/>
  <c r="D9" i="28"/>
  <c r="H10" i="28" s="1"/>
  <c r="H8" i="28"/>
  <c r="U15" i="28" s="1"/>
  <c r="D8" i="28"/>
  <c r="H7" i="28"/>
  <c r="Q15" i="28" s="1"/>
  <c r="D7" i="28"/>
  <c r="H6" i="28"/>
  <c r="L15" i="28" s="1"/>
  <c r="D6" i="28"/>
  <c r="D5" i="28"/>
  <c r="D4" i="28"/>
  <c r="H5" i="28" s="1"/>
  <c r="D3" i="28"/>
  <c r="B11" i="28" s="1"/>
  <c r="D5" i="27"/>
  <c r="H12" i="27" s="1"/>
  <c r="D4" i="27"/>
  <c r="H5" i="27" s="1"/>
  <c r="H11" i="27" s="1"/>
  <c r="D3" i="27"/>
  <c r="J11" i="27" s="1"/>
  <c r="E5" i="32" l="1"/>
  <c r="K11" i="32" s="1"/>
  <c r="Z15" i="28"/>
  <c r="I12" i="32"/>
  <c r="I5" i="32"/>
  <c r="I11" i="32" s="1"/>
  <c r="J6" i="27"/>
  <c r="H8" i="29"/>
  <c r="H14" i="29" s="1"/>
  <c r="K6" i="32"/>
  <c r="I6" i="32"/>
  <c r="H16" i="28"/>
  <c r="L16" i="28" s="1"/>
  <c r="Q16" i="28" s="1"/>
  <c r="U16" i="28" s="1"/>
  <c r="X16" i="28" s="1"/>
  <c r="H13" i="29"/>
  <c r="H12" i="29"/>
  <c r="H6" i="27"/>
  <c r="H4" i="28"/>
  <c r="H17" i="28" s="1"/>
  <c r="H15" i="28"/>
  <c r="H7" i="29"/>
  <c r="H4" i="27"/>
  <c r="H14" i="27" s="1"/>
  <c r="H17" i="27" s="1"/>
  <c r="H18" i="28" l="1"/>
  <c r="H25" i="28" s="1"/>
  <c r="B10" i="32"/>
  <c r="I4" i="32"/>
  <c r="I13" i="32" s="1"/>
  <c r="H13" i="27"/>
  <c r="H22" i="28"/>
  <c r="I14" i="32" l="1"/>
  <c r="I17" i="32" s="1"/>
  <c r="D8" i="25"/>
  <c r="D4" i="25"/>
  <c r="D5" i="25"/>
  <c r="D6" i="25"/>
  <c r="D7" i="25"/>
  <c r="B13" i="32" l="1"/>
  <c r="G11" i="25"/>
  <c r="H6" i="25"/>
  <c r="H7" i="25"/>
  <c r="O11" i="25" s="1"/>
  <c r="H8" i="25"/>
  <c r="H5" i="25"/>
  <c r="H11" i="25" s="1"/>
  <c r="E8" i="26"/>
  <c r="K9" i="26" s="1"/>
  <c r="AA16" i="26" s="1"/>
  <c r="E9" i="26"/>
  <c r="AA17" i="26" s="1"/>
  <c r="E7" i="26"/>
  <c r="K8" i="26" s="1"/>
  <c r="X16" i="26" s="1"/>
  <c r="E6" i="26"/>
  <c r="K7" i="26" s="1"/>
  <c r="T16" i="26" s="1"/>
  <c r="E5" i="26"/>
  <c r="K6" i="26" s="1"/>
  <c r="P16" i="26" s="1"/>
  <c r="E4" i="26"/>
  <c r="K5" i="26" s="1"/>
  <c r="K16" i="26" s="1"/>
  <c r="E3" i="26"/>
  <c r="K4" i="26" s="1"/>
  <c r="D5" i="23"/>
  <c r="D4" i="23"/>
  <c r="D3" i="23"/>
  <c r="H4" i="23" s="1"/>
  <c r="H18" i="23" s="1"/>
  <c r="H27" i="25" l="1"/>
  <c r="H5" i="23"/>
  <c r="H17" i="23" s="1"/>
  <c r="N9" i="23" s="1"/>
  <c r="B6" i="23"/>
  <c r="H6" i="23"/>
  <c r="K6" i="23" s="1"/>
  <c r="H15" i="23" s="1"/>
  <c r="G15" i="25"/>
  <c r="G13" i="25"/>
  <c r="H15" i="25"/>
  <c r="H13" i="25"/>
  <c r="K20" i="26"/>
  <c r="K18" i="26"/>
  <c r="K19" i="26"/>
  <c r="K21" i="26" s="1"/>
  <c r="P17" i="26"/>
  <c r="X17" i="26"/>
  <c r="K10" i="26"/>
  <c r="K27" i="26" s="1"/>
  <c r="K17" i="26"/>
  <c r="T17" i="26"/>
  <c r="H17" i="25" l="1"/>
  <c r="H18" i="25" s="1"/>
  <c r="H20" i="25" l="1"/>
  <c r="H21" i="25" l="1"/>
  <c r="H22" i="25" s="1"/>
  <c r="H23" i="25" l="1"/>
  <c r="H24" i="25" s="1"/>
  <c r="E5" i="18" l="1"/>
  <c r="T6" i="18" s="1"/>
  <c r="M27" i="18" s="1"/>
  <c r="E6" i="18"/>
  <c r="T7" i="18" s="1"/>
  <c r="Q27" i="18" s="1"/>
  <c r="E7" i="18"/>
  <c r="E8" i="18"/>
  <c r="E9" i="18"/>
  <c r="E4" i="18"/>
  <c r="T5" i="18" s="1"/>
  <c r="AE27" i="18" s="1"/>
  <c r="D5" i="18"/>
  <c r="D6" i="18"/>
  <c r="D7" i="18"/>
  <c r="M8" i="18" s="1"/>
  <c r="V16" i="18" s="1"/>
  <c r="D8" i="18"/>
  <c r="D9" i="18"/>
  <c r="D4" i="18"/>
  <c r="T8" i="18"/>
  <c r="V27" i="18" s="1"/>
  <c r="T9" i="18"/>
  <c r="Z27" i="18" s="1"/>
  <c r="T10" i="18"/>
  <c r="AC27" i="18" s="1"/>
  <c r="K24" i="18"/>
  <c r="K31" i="18" s="1"/>
  <c r="R4" i="18"/>
  <c r="K13" i="18"/>
  <c r="K20" i="18" s="1"/>
  <c r="J4" i="18"/>
  <c r="D10" i="18"/>
  <c r="AC28" i="18" s="1"/>
  <c r="M9" i="18"/>
  <c r="Z16" i="18" s="1"/>
  <c r="M7" i="18"/>
  <c r="Q16" i="18" s="1"/>
  <c r="M6" i="18"/>
  <c r="M16" i="18" s="1"/>
  <c r="M5" i="18"/>
  <c r="AE16" i="18" s="1"/>
  <c r="E9" i="16"/>
  <c r="E8" i="16"/>
  <c r="K8" i="16" s="1"/>
  <c r="W15" i="16" s="1"/>
  <c r="E7" i="16"/>
  <c r="E6" i="16"/>
  <c r="K6" i="16" s="1"/>
  <c r="O15" i="16" s="1"/>
  <c r="E5" i="16"/>
  <c r="K5" i="16" s="1"/>
  <c r="K15" i="16" s="1"/>
  <c r="E3" i="16"/>
  <c r="K4" i="16" s="1"/>
  <c r="AB15" i="16" s="1"/>
  <c r="E11" i="16"/>
  <c r="K10" i="16" s="1"/>
  <c r="E10" i="16"/>
  <c r="K9" i="16" s="1"/>
  <c r="D4" i="13"/>
  <c r="D3" i="13"/>
  <c r="J5" i="13" s="1"/>
  <c r="U5" i="13" s="1"/>
  <c r="D7" i="13"/>
  <c r="D5" i="13"/>
  <c r="U6" i="13"/>
  <c r="S8" i="13"/>
  <c r="S9" i="13" s="1"/>
  <c r="J6" i="13"/>
  <c r="U7" i="13" s="1"/>
  <c r="J8" i="13"/>
  <c r="J9" i="13"/>
  <c r="D11" i="11"/>
  <c r="I25" i="11" s="1"/>
  <c r="D9" i="11"/>
  <c r="D8" i="11"/>
  <c r="I17" i="11" s="1"/>
  <c r="D5" i="11"/>
  <c r="K4" i="11" s="1"/>
  <c r="D4" i="11"/>
  <c r="M17" i="11"/>
  <c r="I4" i="11"/>
  <c r="B8" i="11"/>
  <c r="G16" i="11"/>
  <c r="G21" i="11"/>
  <c r="I26" i="11"/>
  <c r="J23" i="11"/>
  <c r="J25" i="11" s="1"/>
  <c r="I13" i="11"/>
  <c r="J12" i="11"/>
  <c r="I12" i="11"/>
  <c r="J10" i="11"/>
  <c r="G8" i="11"/>
  <c r="G3" i="11"/>
  <c r="B4" i="11"/>
  <c r="M18" i="11"/>
  <c r="P18" i="11" s="1"/>
  <c r="K18" i="11"/>
  <c r="M5" i="11"/>
  <c r="K5" i="11"/>
  <c r="R7" i="9"/>
  <c r="Q8" i="9"/>
  <c r="P8" i="9" s="1"/>
  <c r="I7" i="9"/>
  <c r="I8" i="9" s="1"/>
  <c r="I9" i="9" s="1"/>
  <c r="I10" i="9" s="1"/>
  <c r="I11" i="9" s="1"/>
  <c r="I12" i="9" s="1"/>
  <c r="J12" i="9" s="1"/>
  <c r="T26" i="9"/>
  <c r="L26" i="9"/>
  <c r="D11" i="9"/>
  <c r="D10" i="9"/>
  <c r="S7" i="9" s="1"/>
  <c r="D8" i="9"/>
  <c r="S5" i="9" s="1"/>
  <c r="D6" i="9"/>
  <c r="K7" i="9" s="1"/>
  <c r="D4" i="9"/>
  <c r="K5" i="9" s="1"/>
  <c r="O3" i="9"/>
  <c r="G3" i="9"/>
  <c r="D10" i="8"/>
  <c r="D8" i="8"/>
  <c r="T5" i="8" s="1"/>
  <c r="D6" i="8"/>
  <c r="D4" i="8"/>
  <c r="I5" i="8" s="1"/>
  <c r="D11" i="8"/>
  <c r="I21" i="8" s="1"/>
  <c r="R3" i="8"/>
  <c r="T8" i="8"/>
  <c r="U13" i="8" s="1"/>
  <c r="T6" i="8"/>
  <c r="X12" i="8" s="1"/>
  <c r="I8" i="8"/>
  <c r="J13" i="8" s="1"/>
  <c r="I7" i="8"/>
  <c r="I6" i="8"/>
  <c r="M12" i="8" s="1"/>
  <c r="G3" i="8"/>
  <c r="M20" i="7"/>
  <c r="M18" i="7"/>
  <c r="D10" i="7"/>
  <c r="J10" i="7" s="1"/>
  <c r="D9" i="7"/>
  <c r="J9" i="7" s="1"/>
  <c r="X15" i="7" s="1"/>
  <c r="D8" i="7"/>
  <c r="J8" i="7" s="1"/>
  <c r="V15" i="7" s="1"/>
  <c r="D7" i="7"/>
  <c r="J7" i="7" s="1"/>
  <c r="R15" i="7" s="1"/>
  <c r="D6" i="7"/>
  <c r="J6" i="7" s="1"/>
  <c r="N15" i="7" s="1"/>
  <c r="D5" i="7"/>
  <c r="J5" i="7" s="1"/>
  <c r="J15" i="7" s="1"/>
  <c r="D3" i="7"/>
  <c r="J4" i="7" s="1"/>
  <c r="Y15" i="7" s="1"/>
  <c r="D4" i="6"/>
  <c r="D3" i="6"/>
  <c r="H4" i="6" s="1"/>
  <c r="H11" i="6" s="1"/>
  <c r="D11" i="4"/>
  <c r="B19" i="4" s="1"/>
  <c r="X16" i="4"/>
  <c r="U16" i="4"/>
  <c r="R16" i="4"/>
  <c r="N16" i="4"/>
  <c r="D10" i="4"/>
  <c r="H5" i="4" s="1"/>
  <c r="D9" i="4"/>
  <c r="H10" i="4" s="1"/>
  <c r="W15" i="4" s="1"/>
  <c r="D8" i="4"/>
  <c r="H9" i="4" s="1"/>
  <c r="T15" i="4" s="1"/>
  <c r="D7" i="4"/>
  <c r="H8" i="4" s="1"/>
  <c r="P15" i="4" s="1"/>
  <c r="D6" i="4"/>
  <c r="H7" i="4" s="1"/>
  <c r="L15" i="4" s="1"/>
  <c r="D5" i="4"/>
  <c r="D3" i="4"/>
  <c r="H4" i="4" s="1"/>
  <c r="Y15" i="4" s="1"/>
  <c r="B12" i="8" l="1"/>
  <c r="H5" i="6"/>
  <c r="H10" i="6" s="1"/>
  <c r="B6" i="6"/>
  <c r="K27" i="9"/>
  <c r="T7" i="8"/>
  <c r="Z12" i="8" s="1"/>
  <c r="H6" i="4"/>
  <c r="H15" i="4" s="1"/>
  <c r="H17" i="4" s="1"/>
  <c r="B13" i="4"/>
  <c r="H12" i="6"/>
  <c r="H13" i="6" s="1"/>
  <c r="H16" i="6" s="1"/>
  <c r="Z15" i="16"/>
  <c r="N9" i="16"/>
  <c r="H21" i="4"/>
  <c r="I23" i="4" s="1"/>
  <c r="V17" i="18"/>
  <c r="Q28" i="18"/>
  <c r="M17" i="18"/>
  <c r="AC17" i="18"/>
  <c r="Z28" i="18"/>
  <c r="M29" i="18"/>
  <c r="Q17" i="18"/>
  <c r="Z17" i="18"/>
  <c r="M28" i="18"/>
  <c r="V28" i="18"/>
  <c r="M11" i="18"/>
  <c r="M10" i="18"/>
  <c r="K7" i="16"/>
  <c r="S15" i="16" s="1"/>
  <c r="K17" i="16" s="1"/>
  <c r="O16" i="16"/>
  <c r="W16" i="16"/>
  <c r="K16" i="16"/>
  <c r="S16" i="16"/>
  <c r="Z16" i="16"/>
  <c r="J17" i="13"/>
  <c r="J7" i="13"/>
  <c r="S10" i="13"/>
  <c r="S11" i="13" s="1"/>
  <c r="S12" i="13" s="1"/>
  <c r="S13" i="13" s="1"/>
  <c r="S14" i="13" s="1"/>
  <c r="S15" i="13" s="1"/>
  <c r="S16" i="13" s="1"/>
  <c r="R8" i="13"/>
  <c r="R9" i="13" s="1"/>
  <c r="T8" i="13"/>
  <c r="U8" i="13" s="1"/>
  <c r="J18" i="13"/>
  <c r="J19" i="13"/>
  <c r="L21" i="13" s="1"/>
  <c r="P4" i="11"/>
  <c r="O4" i="11" s="1"/>
  <c r="K17" i="11"/>
  <c r="P17" i="11"/>
  <c r="S17" i="11" s="1"/>
  <c r="T18" i="11" s="1"/>
  <c r="I19" i="11"/>
  <c r="I24" i="11" s="1"/>
  <c r="I27" i="11" s="1"/>
  <c r="I6" i="11"/>
  <c r="M4" i="11"/>
  <c r="P5" i="11"/>
  <c r="S18" i="11"/>
  <c r="R17" i="11"/>
  <c r="S6" i="9"/>
  <c r="R8" i="9"/>
  <c r="S8" i="9"/>
  <c r="Q9" i="9"/>
  <c r="P9" i="9" s="1"/>
  <c r="J8" i="9"/>
  <c r="J11" i="9"/>
  <c r="J9" i="9"/>
  <c r="J10" i="9"/>
  <c r="K8" i="9"/>
  <c r="K9" i="9" s="1"/>
  <c r="K10" i="9" s="1"/>
  <c r="K11" i="9" s="1"/>
  <c r="K12" i="9" s="1"/>
  <c r="H8" i="9"/>
  <c r="H9" i="9" s="1"/>
  <c r="H10" i="9" s="1"/>
  <c r="H11" i="9" s="1"/>
  <c r="H12" i="9" s="1"/>
  <c r="K26" i="9"/>
  <c r="K6" i="9"/>
  <c r="M20" i="8"/>
  <c r="X20" i="8"/>
  <c r="I20" i="8"/>
  <c r="T21" i="8"/>
  <c r="T20" i="8"/>
  <c r="U12" i="8"/>
  <c r="I14" i="8"/>
  <c r="I19" i="8" s="1"/>
  <c r="I22" i="8" s="1"/>
  <c r="J12" i="8"/>
  <c r="O12" i="8"/>
  <c r="J32" i="7"/>
  <c r="P20" i="7"/>
  <c r="P18" i="7"/>
  <c r="L16" i="4"/>
  <c r="P16" i="4"/>
  <c r="T16" i="4"/>
  <c r="W16" i="4"/>
  <c r="H16" i="4"/>
  <c r="T14" i="8" l="1"/>
  <c r="T19" i="8" s="1"/>
  <c r="T22" i="8" s="1"/>
  <c r="S25" i="8" s="1"/>
  <c r="T11" i="18"/>
  <c r="L33" i="18" s="1"/>
  <c r="M36" i="18" s="1"/>
  <c r="M35" i="18"/>
  <c r="J20" i="16"/>
  <c r="K22" i="16" s="1"/>
  <c r="AC16" i="18"/>
  <c r="M18" i="18" s="1"/>
  <c r="R10" i="13"/>
  <c r="R11" i="13" s="1"/>
  <c r="R12" i="13" s="1"/>
  <c r="R13" i="13" s="1"/>
  <c r="R14" i="13" s="1"/>
  <c r="R15" i="13" s="1"/>
  <c r="R16" i="13" s="1"/>
  <c r="T9" i="13"/>
  <c r="Q5" i="11"/>
  <c r="I11" i="11"/>
  <c r="S27" i="9"/>
  <c r="S26" i="9"/>
  <c r="Q10" i="9"/>
  <c r="P10" i="9" s="1"/>
  <c r="S9" i="9"/>
  <c r="R9" i="9"/>
  <c r="K19" i="9"/>
  <c r="K25" i="9" s="1"/>
  <c r="K28" i="9" s="1"/>
  <c r="N23" i="7"/>
  <c r="N24" i="7"/>
  <c r="N27" i="7" s="1"/>
  <c r="S10" i="9" l="1"/>
  <c r="N28" i="7"/>
  <c r="T10" i="13"/>
  <c r="T11" i="13" s="1"/>
  <c r="T12" i="13" s="1"/>
  <c r="T13" i="13" s="1"/>
  <c r="T14" i="13" s="1"/>
  <c r="T15" i="13" s="1"/>
  <c r="T16" i="13" s="1"/>
  <c r="U9" i="13"/>
  <c r="Q11" i="9"/>
  <c r="P11" i="9" s="1"/>
  <c r="R10" i="9"/>
  <c r="N26" i="7"/>
  <c r="S11" i="9" l="1"/>
  <c r="U10" i="13"/>
  <c r="U11" i="13" s="1"/>
  <c r="U12" i="13" s="1"/>
  <c r="U13" i="13" s="1"/>
  <c r="U14" i="13" s="1"/>
  <c r="U15" i="13" s="1"/>
  <c r="U16" i="13" s="1"/>
  <c r="Q12" i="9"/>
  <c r="P12" i="9" s="1"/>
  <c r="R11" i="9"/>
  <c r="U18" i="13" l="1"/>
  <c r="Q13" i="9"/>
  <c r="P13" i="9" s="1"/>
  <c r="R12" i="9"/>
  <c r="S12" i="9"/>
  <c r="S13" i="9" l="1"/>
  <c r="Q14" i="9"/>
  <c r="P14" i="9" s="1"/>
  <c r="R13" i="9"/>
  <c r="Q15" i="9" l="1"/>
  <c r="P15" i="9" s="1"/>
  <c r="R14" i="9"/>
  <c r="S14" i="9"/>
  <c r="S15" i="9" l="1"/>
  <c r="R15" i="9"/>
  <c r="Q16" i="9"/>
  <c r="P16" i="9" s="1"/>
  <c r="R16" i="9" l="1"/>
  <c r="S16" i="9"/>
  <c r="S19" i="9" s="1"/>
  <c r="S25" i="9" s="1"/>
  <c r="S28" i="9" s="1"/>
  <c r="H31" i="9" s="1"/>
</calcChain>
</file>

<file path=xl/sharedStrings.xml><?xml version="1.0" encoding="utf-8"?>
<sst xmlns="http://schemas.openxmlformats.org/spreadsheetml/2006/main" count="797" uniqueCount="247">
  <si>
    <t>NPV</t>
  </si>
  <si>
    <t>Nilai Investasi</t>
  </si>
  <si>
    <t>Nilai Kas Bersih</t>
  </si>
  <si>
    <t>Diketahui:</t>
  </si>
  <si>
    <t>k =</t>
  </si>
  <si>
    <r>
      <t>I</t>
    </r>
    <r>
      <rPr>
        <vertAlign val="subscript"/>
        <sz val="11"/>
        <color theme="1"/>
        <rFont val="Calibri"/>
        <family val="2"/>
        <scheme val="minor"/>
      </rPr>
      <t xml:space="preserve">0 </t>
    </r>
    <r>
      <rPr>
        <sz val="11"/>
        <color theme="1"/>
        <rFont val="Calibri"/>
        <family val="2"/>
        <charset val="1"/>
        <scheme val="minor"/>
      </rPr>
      <t>=</t>
    </r>
  </si>
  <si>
    <t>=</t>
  </si>
  <si>
    <t>k</t>
  </si>
  <si>
    <t>A</t>
  </si>
  <si>
    <r>
      <t>- I</t>
    </r>
    <r>
      <rPr>
        <vertAlign val="subscript"/>
        <sz val="11"/>
        <color theme="1"/>
        <rFont val="Calibri"/>
        <family val="2"/>
        <scheme val="minor"/>
      </rPr>
      <t>0</t>
    </r>
  </si>
  <si>
    <t>Harga Aset</t>
  </si>
  <si>
    <t>Arus kas tahun:</t>
  </si>
  <si>
    <t>Tingkat Diskonto</t>
  </si>
  <si>
    <r>
      <t>I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charset val="1"/>
        <scheme val="minor"/>
      </rPr>
      <t xml:space="preserve"> =</t>
    </r>
  </si>
  <si>
    <r>
      <t>CF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charset val="1"/>
        <scheme val="minor"/>
      </rPr>
      <t xml:space="preserve"> =</t>
    </r>
  </si>
  <si>
    <r>
      <t>CF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charset val="1"/>
        <scheme val="minor"/>
      </rPr>
      <t xml:space="preserve"> =</t>
    </r>
  </si>
  <si>
    <r>
      <t>CF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charset val="1"/>
        <scheme val="minor"/>
      </rPr>
      <t xml:space="preserve"> =</t>
    </r>
  </si>
  <si>
    <r>
      <t>CF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charset val="1"/>
        <scheme val="minor"/>
      </rPr>
      <t xml:space="preserve"> =</t>
    </r>
  </si>
  <si>
    <r>
      <t>CF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charset val="1"/>
        <scheme val="minor"/>
      </rPr>
      <t xml:space="preserve"> =</t>
    </r>
  </si>
  <si>
    <t>1 + k</t>
  </si>
  <si>
    <r>
      <t>CF</t>
    </r>
    <r>
      <rPr>
        <vertAlign val="subscript"/>
        <sz val="11"/>
        <color theme="1"/>
        <rFont val="Calibri"/>
        <family val="2"/>
        <scheme val="minor"/>
      </rPr>
      <t>1</t>
    </r>
  </si>
  <si>
    <r>
      <t>CF</t>
    </r>
    <r>
      <rPr>
        <vertAlign val="subscript"/>
        <sz val="11"/>
        <color theme="1"/>
        <rFont val="Calibri"/>
        <family val="2"/>
        <scheme val="minor"/>
      </rPr>
      <t>2</t>
    </r>
  </si>
  <si>
    <r>
      <t>CF</t>
    </r>
    <r>
      <rPr>
        <vertAlign val="subscript"/>
        <sz val="11"/>
        <color theme="1"/>
        <rFont val="Calibri"/>
        <family val="2"/>
        <scheme val="minor"/>
      </rPr>
      <t>3</t>
    </r>
  </si>
  <si>
    <r>
      <t>CF</t>
    </r>
    <r>
      <rPr>
        <vertAlign val="subscript"/>
        <sz val="11"/>
        <color theme="1"/>
        <rFont val="Calibri"/>
        <family val="2"/>
        <scheme val="minor"/>
      </rPr>
      <t>4</t>
    </r>
  </si>
  <si>
    <r>
      <t>CF</t>
    </r>
    <r>
      <rPr>
        <vertAlign val="subscript"/>
        <sz val="11"/>
        <color theme="1"/>
        <rFont val="Calibri"/>
        <family val="2"/>
        <scheme val="minor"/>
      </rPr>
      <t>5</t>
    </r>
  </si>
  <si>
    <r>
      <t>(1 + k)</t>
    </r>
    <r>
      <rPr>
        <vertAlign val="superscript"/>
        <sz val="11"/>
        <color theme="1"/>
        <rFont val="Calibri"/>
        <family val="2"/>
        <scheme val="minor"/>
      </rPr>
      <t>2</t>
    </r>
  </si>
  <si>
    <r>
      <t>(1 + k)</t>
    </r>
    <r>
      <rPr>
        <vertAlign val="superscript"/>
        <sz val="11"/>
        <color theme="1"/>
        <rFont val="Calibri"/>
        <family val="2"/>
        <scheme val="minor"/>
      </rPr>
      <t>3</t>
    </r>
  </si>
  <si>
    <r>
      <t>(1 + k)</t>
    </r>
    <r>
      <rPr>
        <vertAlign val="superscript"/>
        <sz val="11"/>
        <color theme="1"/>
        <rFont val="Calibri"/>
        <family val="2"/>
        <scheme val="minor"/>
      </rPr>
      <t>4</t>
    </r>
  </si>
  <si>
    <r>
      <t>(1 + k)</t>
    </r>
    <r>
      <rPr>
        <vertAlign val="superscript"/>
        <sz val="11"/>
        <color theme="1"/>
        <rFont val="Calibri"/>
        <family val="2"/>
        <scheme val="minor"/>
      </rPr>
      <t>5</t>
    </r>
  </si>
  <si>
    <t>+</t>
  </si>
  <si>
    <t>NPV - Fungsi Excel</t>
  </si>
  <si>
    <t>=NPV(tingkat diskonto;aliran_kas_tahunan) - harga_aset atau investasi</t>
  </si>
  <si>
    <t>&lt;&lt;&lt; =NPV(H5;H6:J10)-H4</t>
  </si>
  <si>
    <t>NPV - Manual</t>
  </si>
  <si>
    <t>Kesimpulan :</t>
  </si>
  <si>
    <t>Batas Penerimaan</t>
  </si>
  <si>
    <r>
      <t>w</t>
    </r>
    <r>
      <rPr>
        <vertAlign val="subscript"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charset val="1"/>
        <scheme val="minor"/>
      </rPr>
      <t xml:space="preserve"> k</t>
    </r>
    <r>
      <rPr>
        <vertAlign val="subscript"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charset val="1"/>
        <scheme val="minor"/>
      </rPr>
      <t xml:space="preserve"> + w</t>
    </r>
    <r>
      <rPr>
        <vertAlign val="subscript"/>
        <sz val="11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charset val="1"/>
        <scheme val="minor"/>
      </rPr>
      <t xml:space="preserve"> k</t>
    </r>
    <r>
      <rPr>
        <vertAlign val="subscript"/>
        <sz val="11"/>
        <color theme="1"/>
        <rFont val="Calibri"/>
        <family val="2"/>
        <scheme val="minor"/>
      </rPr>
      <t>u</t>
    </r>
  </si>
  <si>
    <t>INTERNAL RATE of RETURN</t>
  </si>
  <si>
    <t>A =</t>
  </si>
  <si>
    <t>IRR</t>
  </si>
  <si>
    <t>Interal Rate of Return (IRR)</t>
  </si>
  <si>
    <r>
      <t>I</t>
    </r>
    <r>
      <rPr>
        <vertAlign val="subscript"/>
        <sz val="11"/>
        <color theme="1"/>
        <rFont val="Calibri"/>
        <family val="2"/>
        <scheme val="minor"/>
      </rPr>
      <t>0</t>
    </r>
  </si>
  <si>
    <t>Retur diinginkan</t>
  </si>
  <si>
    <t>IRR - Manual</t>
  </si>
  <si>
    <t>1 + IRR</t>
  </si>
  <si>
    <r>
      <t>(1 + IRR)</t>
    </r>
    <r>
      <rPr>
        <vertAlign val="superscript"/>
        <sz val="11"/>
        <color theme="1"/>
        <rFont val="Calibri"/>
        <family val="2"/>
        <scheme val="minor"/>
      </rPr>
      <t>2</t>
    </r>
  </si>
  <si>
    <r>
      <t>(1 + IRR)</t>
    </r>
    <r>
      <rPr>
        <vertAlign val="superscript"/>
        <sz val="11"/>
        <color theme="1"/>
        <rFont val="Calibri"/>
        <family val="2"/>
        <scheme val="minor"/>
      </rPr>
      <t>3</t>
    </r>
  </si>
  <si>
    <r>
      <t>(1 + IRR)</t>
    </r>
    <r>
      <rPr>
        <vertAlign val="superscript"/>
        <sz val="11"/>
        <color theme="1"/>
        <rFont val="Calibri"/>
        <family val="2"/>
        <scheme val="minor"/>
      </rPr>
      <t>4</t>
    </r>
  </si>
  <si>
    <r>
      <t>(1 + IRR)</t>
    </r>
    <r>
      <rPr>
        <vertAlign val="superscript"/>
        <sz val="11"/>
        <color theme="1"/>
        <rFont val="Calibri"/>
        <family val="2"/>
        <scheme val="minor"/>
      </rPr>
      <t>5</t>
    </r>
  </si>
  <si>
    <t>IRR - Fungsi Excel</t>
  </si>
  <si>
    <t>hasil:</t>
  </si>
  <si>
    <t>Coba-coba 1</t>
  </si>
  <si>
    <t>Coba-coba 2</t>
  </si>
  <si>
    <t>Perhitungan IRR</t>
  </si>
  <si>
    <t xml:space="preserve"> Jarak 2 NPV</t>
  </si>
  <si>
    <t>Investasi Awal</t>
  </si>
  <si>
    <t>Aliran Kas Tahun 1</t>
  </si>
  <si>
    <t>Retur Diharapkan</t>
  </si>
  <si>
    <t xml:space="preserve">IRR </t>
  </si>
  <si>
    <t>Kesimpulan</t>
  </si>
  <si>
    <t>Peringkat</t>
  </si>
  <si>
    <t>Berdasarkan NPV</t>
  </si>
  <si>
    <t>Berdasarkan IRR</t>
  </si>
  <si>
    <t>ABC</t>
  </si>
  <si>
    <t>DEF</t>
  </si>
  <si>
    <t>NPV (Net Present Value)</t>
  </si>
  <si>
    <t>IRR (Internet Rate of Return)</t>
  </si>
  <si>
    <t>MEMILIH USULAN PROYEK</t>
  </si>
  <si>
    <t>Nama Proyek 1</t>
  </si>
  <si>
    <t>Nama Proyek 2</t>
  </si>
  <si>
    <t>Proyek</t>
  </si>
  <si>
    <t>Investasi</t>
  </si>
  <si>
    <t>Aliran kas masuk</t>
  </si>
  <si>
    <t>Aliran kas masuk tahunan</t>
  </si>
  <si>
    <t>Tingkat diskonto</t>
  </si>
  <si>
    <t>n =</t>
  </si>
  <si>
    <t>NPV =</t>
  </si>
  <si>
    <t>∑</t>
  </si>
  <si>
    <r>
      <t>CF</t>
    </r>
    <r>
      <rPr>
        <vertAlign val="subscript"/>
        <sz val="11"/>
        <color theme="1"/>
        <rFont val="Calibri"/>
        <family val="2"/>
        <scheme val="minor"/>
      </rPr>
      <t>i</t>
    </r>
  </si>
  <si>
    <r>
      <t>(1 + k)</t>
    </r>
    <r>
      <rPr>
        <vertAlign val="superscript"/>
        <sz val="11"/>
        <color theme="1"/>
        <rFont val="Calibri"/>
        <family val="2"/>
        <scheme val="minor"/>
      </rPr>
      <t>i</t>
    </r>
  </si>
  <si>
    <t>EAV =</t>
  </si>
  <si>
    <r>
      <t>1 - (1 + k)</t>
    </r>
    <r>
      <rPr>
        <vertAlign val="superscript"/>
        <sz val="11"/>
        <color theme="1"/>
        <rFont val="Calibri"/>
        <family val="2"/>
        <scheme val="minor"/>
      </rPr>
      <t>-n</t>
    </r>
  </si>
  <si>
    <t>Kesimpulan:</t>
  </si>
  <si>
    <t>XYZ</t>
  </si>
  <si>
    <t>CF</t>
  </si>
  <si>
    <t>EAV</t>
  </si>
  <si>
    <t xml:space="preserve"> =</t>
  </si>
  <si>
    <t>NPV (Fungsi Excel)</t>
  </si>
  <si>
    <t>Nama Aset</t>
  </si>
  <si>
    <t>Mesin X</t>
  </si>
  <si>
    <t>Present Cost</t>
  </si>
  <si>
    <t>1 - (1 + k)</t>
  </si>
  <si>
    <t>Mesin Y</t>
  </si>
  <si>
    <t>Biaya Operasional per Tahun</t>
  </si>
  <si>
    <t>Masa Pakai Aset</t>
  </si>
  <si>
    <t xml:space="preserve">MEMILIH ASET </t>
  </si>
  <si>
    <t>Nilai investasi</t>
  </si>
  <si>
    <r>
      <t>CF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charset val="1"/>
        <scheme val="minor"/>
      </rPr>
      <t xml:space="preserve"> =</t>
    </r>
  </si>
  <si>
    <t xml:space="preserve">Arus kas bersih </t>
  </si>
  <si>
    <t>Kenaikan per tahun</t>
  </si>
  <si>
    <t>Umur proyek</t>
  </si>
  <si>
    <t>Retur diharapkan</t>
  </si>
  <si>
    <t>g =</t>
  </si>
  <si>
    <t xml:space="preserve"> 1 + k</t>
  </si>
  <si>
    <t>1 -</t>
  </si>
  <si>
    <r>
      <t xml:space="preserve"> 1 + g  </t>
    </r>
    <r>
      <rPr>
        <vertAlign val="superscript"/>
        <sz val="11"/>
        <color theme="1"/>
        <rFont val="Calibri"/>
        <family val="2"/>
        <scheme val="minor"/>
      </rPr>
      <t>n</t>
    </r>
  </si>
  <si>
    <t>k - g</t>
  </si>
  <si>
    <r>
      <t>CF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charset val="1"/>
        <scheme val="minor"/>
      </rPr>
      <t xml:space="preserve"> - I</t>
    </r>
    <r>
      <rPr>
        <vertAlign val="subscript"/>
        <sz val="11"/>
        <color theme="1"/>
        <rFont val="Calibri"/>
        <family val="2"/>
        <scheme val="minor"/>
      </rPr>
      <t>0</t>
    </r>
  </si>
  <si>
    <t>Perhitungan Manual</t>
  </si>
  <si>
    <t>Perhitungan dengan Fungsi Excel</t>
  </si>
  <si>
    <t>Tabel untuk Perhitungan:</t>
  </si>
  <si>
    <t>MENILAI KELAYAKAN INVESTASI - NPV</t>
  </si>
  <si>
    <t>Tanpa penjualan aset</t>
  </si>
  <si>
    <t>Nilai jual aset</t>
  </si>
  <si>
    <t>NET PRESENT VALUE</t>
  </si>
  <si>
    <t>NET PRESENT VALUE - PROYEK INDEPENDEN</t>
  </si>
  <si>
    <t>NPV -</t>
  </si>
  <si>
    <t xml:space="preserve"> (Fungsi Excel)</t>
  </si>
  <si>
    <t>&lt;&lt;&lt; =NPV(M11;M6:O10)-D4</t>
  </si>
  <si>
    <t>&lt;&lt;&lt; =NPV(T11;T6:W10)+T5</t>
  </si>
  <si>
    <t>Modal Kerja</t>
  </si>
  <si>
    <t>Nilai Sisa Aset</t>
  </si>
  <si>
    <t>Pembelian Aset</t>
  </si>
  <si>
    <t>I0</t>
  </si>
  <si>
    <t>PI =</t>
  </si>
  <si>
    <t>PV</t>
  </si>
  <si>
    <t>Diketahui</t>
  </si>
  <si>
    <t>Indeks Kemampulabaan (PI)</t>
  </si>
  <si>
    <t>Aliran kas bersih per bulan</t>
  </si>
  <si>
    <t>PROFITABILITY INDEX</t>
  </si>
  <si>
    <t>Profitability Index</t>
  </si>
  <si>
    <t>(1 + k)i</t>
  </si>
  <si>
    <t>PI - Menggunakan Fungsi NPV Excel</t>
  </si>
  <si>
    <t>=NPV(tingkat diskonto;aliran_kas_tahunan) / harga_aset atau investasi</t>
  </si>
  <si>
    <t>&lt;&lt;&lt; =NPV(K10;K5:M9)-E3</t>
  </si>
  <si>
    <t>&lt;&lt;&lt; =NPV(K10;K5:N9)/E3</t>
  </si>
  <si>
    <t>Harga Aset/Investasi</t>
  </si>
  <si>
    <t>MIRR</t>
  </si>
  <si>
    <r>
      <t>(1 + MIRR)</t>
    </r>
    <r>
      <rPr>
        <vertAlign val="superscript"/>
        <sz val="11"/>
        <color theme="1"/>
        <rFont val="Calibri"/>
        <family val="2"/>
        <scheme val="minor"/>
      </rPr>
      <t>4</t>
    </r>
  </si>
  <si>
    <r>
      <t>(1 + MIRR)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charset val="1"/>
        <scheme val="minor"/>
      </rPr>
      <t xml:space="preserve"> =</t>
    </r>
  </si>
  <si>
    <r>
      <t>log (1 + MIRR)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charset val="1"/>
        <scheme val="minor"/>
      </rPr>
      <t xml:space="preserve"> =</t>
    </r>
  </si>
  <si>
    <t>log (1 + MIRR) =</t>
  </si>
  <si>
    <t>4 log (1 + MIRR) =</t>
  </si>
  <si>
    <t>1 + MIRR =</t>
  </si>
  <si>
    <t>MIRR =</t>
  </si>
  <si>
    <t>MIRR - Fungsi Excel</t>
  </si>
  <si>
    <t>Aliran kas bersih:</t>
  </si>
  <si>
    <t>Biaya modal</t>
  </si>
  <si>
    <t>MODIFIED INTERNAL RATE of RETURN</t>
  </si>
  <si>
    <t>Investasi (kas keluar)</t>
  </si>
  <si>
    <t>Kas masuk</t>
  </si>
  <si>
    <t>Return</t>
  </si>
  <si>
    <t>Harga aset</t>
  </si>
  <si>
    <t xml:space="preserve">Arus kas </t>
  </si>
  <si>
    <t>NPV (Manual)</t>
  </si>
  <si>
    <r>
      <t>1 + k</t>
    </r>
    <r>
      <rPr>
        <vertAlign val="superscript"/>
        <sz val="11"/>
        <color theme="1"/>
        <rFont val="Calibri"/>
        <family val="2"/>
        <scheme val="minor"/>
      </rPr>
      <t>2</t>
    </r>
  </si>
  <si>
    <r>
      <t>1 + k</t>
    </r>
    <r>
      <rPr>
        <vertAlign val="superscript"/>
        <sz val="11"/>
        <color theme="1"/>
        <rFont val="Calibri"/>
        <family val="2"/>
        <scheme val="minor"/>
      </rPr>
      <t>3</t>
    </r>
  </si>
  <si>
    <r>
      <t>1 + k</t>
    </r>
    <r>
      <rPr>
        <vertAlign val="superscript"/>
        <sz val="11"/>
        <color theme="1"/>
        <rFont val="Calibri"/>
        <family val="2"/>
        <scheme val="minor"/>
      </rPr>
      <t>4</t>
    </r>
  </si>
  <si>
    <r>
      <t>1 + k</t>
    </r>
    <r>
      <rPr>
        <vertAlign val="superscript"/>
        <sz val="11"/>
        <color theme="1"/>
        <rFont val="Calibri"/>
        <family val="2"/>
        <scheme val="minor"/>
      </rPr>
      <t>5</t>
    </r>
  </si>
  <si>
    <t>NPV (Fungsi Excel</t>
  </si>
  <si>
    <r>
      <t>&lt;&lt;&lt;</t>
    </r>
    <r>
      <rPr>
        <i/>
        <sz val="11"/>
        <color rgb="FF0000FF"/>
        <rFont val="Calibri"/>
        <family val="2"/>
        <scheme val="minor"/>
      </rPr>
      <t xml:space="preserve"> =NPV(H10;H5:J9)-H4</t>
    </r>
  </si>
  <si>
    <t>TINGKAT DISKONTO</t>
  </si>
  <si>
    <t>Pendanaan utang</t>
  </si>
  <si>
    <t>Kupon obligasi</t>
  </si>
  <si>
    <r>
      <t>w</t>
    </r>
    <r>
      <rPr>
        <vertAlign val="subscript"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charset val="1"/>
        <scheme val="minor"/>
      </rPr>
      <t xml:space="preserve"> =</t>
    </r>
  </si>
  <si>
    <t>Bunga modal sendiri</t>
  </si>
  <si>
    <r>
      <t>w</t>
    </r>
    <r>
      <rPr>
        <vertAlign val="subscript"/>
        <sz val="11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charset val="1"/>
        <scheme val="minor"/>
      </rPr>
      <t xml:space="preserve"> =</t>
    </r>
  </si>
  <si>
    <t>Tarif pajak</t>
  </si>
  <si>
    <r>
      <t>k</t>
    </r>
    <r>
      <rPr>
        <vertAlign val="subscript"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charset val="1"/>
        <scheme val="minor"/>
      </rPr>
      <t xml:space="preserve"> =</t>
    </r>
  </si>
  <si>
    <r>
      <t>k</t>
    </r>
    <r>
      <rPr>
        <vertAlign val="subscript"/>
        <sz val="11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charset val="1"/>
        <scheme val="minor"/>
      </rPr>
      <t xml:space="preserve"> =</t>
    </r>
  </si>
  <si>
    <t>INTERNAL RATE OF RETURN</t>
  </si>
  <si>
    <t>Return diinginkan</t>
  </si>
  <si>
    <t>(1 + IRR)</t>
  </si>
  <si>
    <t>Percobaan 1</t>
  </si>
  <si>
    <t>Percobaan 2</t>
  </si>
  <si>
    <t>x</t>
  </si>
  <si>
    <t>Pembuktian</t>
  </si>
  <si>
    <t>IRR (Fungsi Excel)</t>
  </si>
  <si>
    <t>Jumlah kamar</t>
  </si>
  <si>
    <t>Biaya pembangunan per kamar</t>
  </si>
  <si>
    <t>Pendapatan sewa per bulan</t>
  </si>
  <si>
    <t>Kas masuk  per bulan</t>
  </si>
  <si>
    <t>NET PRESENT VALUE - USAHA SEWA KAMAR</t>
  </si>
  <si>
    <r>
      <t>&lt;&lt;&lt;  =</t>
    </r>
    <r>
      <rPr>
        <i/>
        <sz val="11"/>
        <color rgb="FF0000FF"/>
        <rFont val="Calibri"/>
        <family val="2"/>
        <scheme val="minor"/>
      </rPr>
      <t>NPV(U6;U7:U16)-U5</t>
    </r>
  </si>
  <si>
    <r>
      <t>CF</t>
    </r>
    <r>
      <rPr>
        <vertAlign val="sub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=</t>
    </r>
  </si>
  <si>
    <t xml:space="preserve">= </t>
  </si>
  <si>
    <t>(Investasi / Penerimaan Tahunan) x 1 tahun</t>
  </si>
  <si>
    <t>Penerimaan tahunan</t>
  </si>
  <si>
    <t>Periode pengembalian investasi</t>
  </si>
  <si>
    <t>PAYBACK PERIOD</t>
  </si>
  <si>
    <t>Batas Periode</t>
  </si>
  <si>
    <t>Arus kas s.d. tahun ke-</t>
  </si>
  <si>
    <t>Cari periode pengembalian investasi</t>
  </si>
  <si>
    <t>Arus Kas</t>
  </si>
  <si>
    <t>Tahun</t>
  </si>
  <si>
    <t xml:space="preserve">1 - </t>
  </si>
  <si>
    <t>log</t>
  </si>
  <si>
    <t>log (1 + k)</t>
  </si>
  <si>
    <r>
      <t>CF</t>
    </r>
    <r>
      <rPr>
        <vertAlign val="subscript"/>
        <sz val="11"/>
        <rFont val="Calibri"/>
        <family val="2"/>
        <scheme val="minor"/>
      </rPr>
      <t>i</t>
    </r>
  </si>
  <si>
    <r>
      <t>I</t>
    </r>
    <r>
      <rPr>
        <vertAlign val="subscript"/>
        <sz val="11"/>
        <rFont val="Calibri"/>
        <family val="2"/>
        <scheme val="minor"/>
      </rPr>
      <t>0</t>
    </r>
    <r>
      <rPr>
        <sz val="11"/>
        <rFont val="Calibri"/>
        <family val="2"/>
        <scheme val="minor"/>
      </rPr>
      <t>.k</t>
    </r>
  </si>
  <si>
    <t>Discounted Payback</t>
  </si>
  <si>
    <r>
      <t>CF</t>
    </r>
    <r>
      <rPr>
        <vertAlign val="subscript"/>
        <sz val="11"/>
        <rFont val="Calibri"/>
        <family val="2"/>
        <scheme val="minor"/>
      </rPr>
      <t>i</t>
    </r>
    <r>
      <rPr>
        <sz val="11"/>
        <rFont val="Calibri"/>
        <family val="2"/>
        <scheme val="minor"/>
      </rPr>
      <t xml:space="preserve"> =</t>
    </r>
  </si>
  <si>
    <t>Penerimaan kas bersih</t>
  </si>
  <si>
    <r>
      <t>I</t>
    </r>
    <r>
      <rPr>
        <vertAlign val="subscript"/>
        <sz val="11"/>
        <rFont val="Calibri"/>
        <family val="2"/>
        <scheme val="minor"/>
      </rPr>
      <t>0</t>
    </r>
    <r>
      <rPr>
        <sz val="11"/>
        <rFont val="Calibri"/>
        <family val="2"/>
        <scheme val="minor"/>
      </rPr>
      <t xml:space="preserve"> =</t>
    </r>
  </si>
  <si>
    <t>Kas bersih tahunan</t>
  </si>
  <si>
    <t>DISCOUNTED PAYBACK</t>
  </si>
  <si>
    <t xml:space="preserve"> tahun</t>
  </si>
  <si>
    <t xml:space="preserve">Batas periode </t>
  </si>
  <si>
    <t>PV Kumulatif</t>
  </si>
  <si>
    <t>PV Arus Kas</t>
  </si>
  <si>
    <t>Faktor Diskonto</t>
  </si>
  <si>
    <t>Present Value Arus Kas</t>
  </si>
  <si>
    <t>B.</t>
  </si>
  <si>
    <t>A.</t>
  </si>
  <si>
    <t>Persyaratan</t>
  </si>
  <si>
    <t>- CF</t>
  </si>
  <si>
    <r>
      <t>CF</t>
    </r>
    <r>
      <rPr>
        <vertAlign val="subscript"/>
        <sz val="11"/>
        <rFont val="Calibri"/>
        <family val="2"/>
        <scheme val="minor"/>
      </rPr>
      <t>1</t>
    </r>
  </si>
  <si>
    <t>Return dikehendaki investor</t>
  </si>
  <si>
    <t xml:space="preserve"> </t>
  </si>
  <si>
    <t>Metode Diskonto</t>
  </si>
  <si>
    <t>Metode Reinvestasi</t>
  </si>
  <si>
    <t>Metode Gabungan</t>
  </si>
  <si>
    <r>
      <t xml:space="preserve">&lt;&lt;&lt; </t>
    </r>
    <r>
      <rPr>
        <i/>
        <sz val="11"/>
        <color rgb="FF0000FF"/>
        <rFont val="Calibri"/>
        <family val="2"/>
        <scheme val="minor"/>
      </rPr>
      <t>=POWER(10;H20)</t>
    </r>
  </si>
  <si>
    <r>
      <t xml:space="preserve">&lt;&lt;&lt; </t>
    </r>
    <r>
      <rPr>
        <i/>
        <sz val="11"/>
        <color rgb="FF0000FF"/>
        <rFont val="Calibri"/>
        <family val="2"/>
        <scheme val="minor"/>
      </rPr>
      <t>=MIRR(H4:H8;D8;D8)</t>
    </r>
  </si>
  <si>
    <t>Usia Ekonomis</t>
  </si>
  <si>
    <t>Data Aset</t>
  </si>
  <si>
    <t xml:space="preserve">Biaya Perolehan Aset </t>
  </si>
  <si>
    <t>Umur Ekonomis</t>
  </si>
  <si>
    <t>Tarif Pajak</t>
  </si>
  <si>
    <t>Laba Sebelum Pajak dan Penyusutan</t>
  </si>
  <si>
    <t xml:space="preserve">Laporan Laba Rugi </t>
  </si>
  <si>
    <t>Laba sebelum penyusutan dan pajak</t>
  </si>
  <si>
    <t>Biaya penyusutan</t>
  </si>
  <si>
    <t>Laba sebelum pajak</t>
  </si>
  <si>
    <t>Pilih metode penyusutan</t>
  </si>
  <si>
    <t>Jumlah Angka Tahun</t>
  </si>
  <si>
    <t xml:space="preserve">Garis Lurus </t>
  </si>
  <si>
    <t>Laba bersih</t>
  </si>
  <si>
    <t>Batas penerimaan</t>
  </si>
  <si>
    <t>Laba bersih rata-rata</t>
  </si>
  <si>
    <t>Nilai buku rata-rata</t>
  </si>
  <si>
    <t>RETURN RATA-RATA AKUNTANSI</t>
  </si>
  <si>
    <t>atau =</t>
  </si>
  <si>
    <t xml:space="preserve">Umur proyek </t>
  </si>
  <si>
    <t>Retur dikehendaki</t>
  </si>
  <si>
    <t>IRR(aliran_kas;retur_diinginkan)</t>
  </si>
  <si>
    <t>Retur rata-rata akuntansi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</si>
</sst>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1" formatCode="_(* #,##0_);_(* \(#,##0\);_(* &quot;-&quot;_);_(@_)"/>
    <numFmt numFmtId="43" formatCode="_(* #,##0.00_);_(* \(#,##0.00\);_(* &quot;-&quot;??_);_(@_)"/>
    <numFmt numFmtId="164" formatCode="&quot;A = &quot;#,##0\ &quot;per bulan&quot;"/>
    <numFmt numFmtId="165" formatCode="&quot;ke-&quot;General"/>
    <numFmt numFmtId="166" formatCode="0.00#%\ &quot;per bulan&quot;"/>
    <numFmt numFmtId="167" formatCode="0.00%\ &quot;p.a.&quot;"/>
    <numFmt numFmtId="168" formatCode="#,##0.000000000"/>
    <numFmt numFmtId="169" formatCode="General\ &quot;tahun&quot;"/>
    <numFmt numFmtId="170" formatCode="0.000000000%"/>
    <numFmt numFmtId="171" formatCode="#,##0.00##"/>
    <numFmt numFmtId="172" formatCode="&quot;Tahun ke-&quot;General"/>
    <numFmt numFmtId="173" formatCode="0.000"/>
    <numFmt numFmtId="174" formatCode="0.000#%\ &quot;per bulan&quot;"/>
    <numFmt numFmtId="175" formatCode="#,##0.00000"/>
    <numFmt numFmtId="176" formatCode="#,##0.0000"/>
    <numFmt numFmtId="177" formatCode="0.0000"/>
    <numFmt numFmtId="178" formatCode="#,##0\ &quot;=&quot;"/>
    <numFmt numFmtId="179" formatCode="0%\ &quot;p.a.&quot;"/>
    <numFmt numFmtId="180" formatCode="&quot;tahun ke-&quot;General"/>
    <numFmt numFmtId="181" formatCode="0.0000%"/>
    <numFmt numFmtId="182" formatCode="General\ &quot;unit&quot;"/>
    <numFmt numFmtId="183" formatCode="&quot;$&quot;#,##0"/>
    <numFmt numFmtId="184" formatCode="&quot;$&quot;#,##0.00_);[Red]\(&quot;$&quot;#,##0.00\)"/>
    <numFmt numFmtId="185" formatCode="0.00000%"/>
    <numFmt numFmtId="186" formatCode="0.0%"/>
    <numFmt numFmtId="187" formatCode="_-&quot;£&quot;* #,##0_-;\-&quot;£&quot;* #,##0_-;_-&quot;£&quot;* &quot;-&quot;_-;_-@_-"/>
    <numFmt numFmtId="188" formatCode="_-* #,##0_-;\-* #,##0_-;_-* &quot;-&quot;_-;_-@_-"/>
    <numFmt numFmtId="189" formatCode="_-* #,##0.00_-;\-* #,##0.00_-;_-* &quot;-&quot;??_-;_-@_-"/>
    <numFmt numFmtId="190" formatCode="_-&quot;£&quot;* #,##0.00_-;\-&quot;£&quot;* #,##0.00_-;_-&quot;£&quot;* &quot;-&quot;??_-;_-@_-"/>
    <numFmt numFmtId="191" formatCode="0.00\ &quot;tahun &quot;"/>
    <numFmt numFmtId="192" formatCode="#\ &quot;tahun&quot;"/>
    <numFmt numFmtId="193" formatCode="#\ &quot;tahun &quot;"/>
    <numFmt numFmtId="194" formatCode="&quot;Tahun ke-&quot;\ General"/>
    <numFmt numFmtId="195" formatCode="General\ &quot;Tahun &quot;"/>
  </numFmts>
  <fonts count="54" x14ac:knownFonts="1"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0000FF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1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</font>
    <font>
      <sz val="11"/>
      <color theme="0"/>
      <name val="Calibri"/>
      <family val="2"/>
      <scheme val="minor"/>
    </font>
    <font>
      <vertAlign val="superscript"/>
      <sz val="10"/>
      <color theme="1"/>
      <name val="Calibri"/>
      <family val="2"/>
      <charset val="1"/>
      <scheme val="minor"/>
    </font>
    <font>
      <sz val="9"/>
      <color theme="1"/>
      <name val="Calibri"/>
      <family val="2"/>
      <charset val="1"/>
      <scheme val="minor"/>
    </font>
    <font>
      <b/>
      <sz val="13.5"/>
      <color rgb="FF0000FF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vertAlign val="subscript"/>
      <sz val="11"/>
      <color theme="1"/>
      <name val="Calibri"/>
      <family val="2"/>
      <charset val="1"/>
      <scheme val="minor"/>
    </font>
    <font>
      <sz val="10"/>
      <name val="Arial"/>
      <family val="2"/>
    </font>
    <font>
      <i/>
      <sz val="11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FF0000"/>
      <name val="Calibri"/>
      <family val="2"/>
      <charset val="1"/>
      <scheme val="minor"/>
    </font>
    <font>
      <i/>
      <sz val="11"/>
      <color theme="1"/>
      <name val="Calibri"/>
      <family val="2"/>
      <scheme val="minor"/>
    </font>
    <font>
      <i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</font>
    <font>
      <sz val="8"/>
      <name val="Verdana"/>
      <family val="2"/>
    </font>
    <font>
      <sz val="11"/>
      <color theme="1"/>
      <name val="Calibri"/>
      <family val="2"/>
      <charset val="1"/>
    </font>
    <font>
      <sz val="11"/>
      <color indexed="8"/>
      <name val="Calibri"/>
      <family val="2"/>
      <charset val="1"/>
    </font>
    <font>
      <b/>
      <sz val="11"/>
      <color indexed="12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u/>
      <sz val="8"/>
      <color indexed="8"/>
      <name val="Tahoma"/>
      <family val="2"/>
    </font>
    <font>
      <b/>
      <sz val="15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b/>
      <sz val="18"/>
      <color theme="3"/>
      <name val="Cambria"/>
      <family val="2"/>
      <scheme val="major"/>
    </font>
    <font>
      <b/>
      <sz val="8"/>
      <color indexed="63"/>
      <name val="Verdana"/>
      <family val="2"/>
    </font>
    <font>
      <b/>
      <sz val="9"/>
      <name val="Arial"/>
      <family val="2"/>
    </font>
    <font>
      <b/>
      <sz val="14"/>
      <color rgb="FF0000CC"/>
      <name val="Calibri"/>
      <family val="2"/>
      <scheme val="minor"/>
    </font>
    <font>
      <sz val="11"/>
      <color rgb="FF00B050"/>
      <name val="Calibri"/>
      <family val="2"/>
      <scheme val="minor"/>
    </font>
    <font>
      <b/>
      <i/>
      <sz val="11"/>
      <color rgb="FFFFFF00"/>
      <name val="Calibri"/>
      <family val="2"/>
      <scheme val="minor"/>
    </font>
    <font>
      <vertAlign val="subscript"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indexed="48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name val="Calibri"/>
      <family val="2"/>
      <charset val="1"/>
      <scheme val="minor"/>
    </font>
    <font>
      <i/>
      <sz val="11"/>
      <color rgb="FFFF0000"/>
      <name val="Calibri"/>
      <family val="2"/>
      <scheme val="minor"/>
    </font>
  </fonts>
  <fills count="4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C99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55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thin">
        <color indexed="64"/>
      </top>
      <bottom/>
      <diagonal/>
    </border>
    <border>
      <left style="medium">
        <color theme="0"/>
      </left>
      <right style="medium">
        <color theme="0"/>
      </right>
      <top/>
      <bottom style="thin">
        <color indexed="64"/>
      </bottom>
      <diagonal/>
    </border>
    <border>
      <left/>
      <right style="medium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16">
    <xf numFmtId="0" fontId="0" fillId="0" borderId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/>
    <xf numFmtId="0" fontId="14" fillId="0" borderId="0"/>
    <xf numFmtId="0" fontId="14" fillId="0" borderId="0"/>
    <xf numFmtId="9" fontId="16" fillId="0" borderId="0" applyFont="0" applyFill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22" fillId="13" borderId="0" applyNumberFormat="0" applyBorder="0" applyAlignment="0" applyProtection="0"/>
    <xf numFmtId="0" fontId="22" fillId="23" borderId="0" applyNumberFormat="0" applyBorder="0" applyAlignment="0" applyProtection="0"/>
    <xf numFmtId="0" fontId="10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10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0" fillId="30" borderId="0" applyNumberFormat="0" applyBorder="0" applyAlignment="0" applyProtection="0"/>
    <xf numFmtId="0" fontId="22" fillId="14" borderId="0" applyNumberFormat="0" applyBorder="0" applyAlignment="0" applyProtection="0"/>
    <xf numFmtId="0" fontId="22" fillId="31" borderId="0" applyNumberFormat="0" applyBorder="0" applyAlignment="0" applyProtection="0"/>
    <xf numFmtId="0" fontId="10" fillId="32" borderId="0" applyNumberFormat="0" applyBorder="0" applyAlignment="0" applyProtection="0"/>
    <xf numFmtId="37" fontId="23" fillId="33" borderId="15" applyBorder="0" applyProtection="0">
      <alignment vertical="center"/>
    </xf>
    <xf numFmtId="0" fontId="24" fillId="34" borderId="0" applyBorder="0">
      <alignment horizontal="left" vertical="center" indent="1"/>
    </xf>
    <xf numFmtId="41" fontId="16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7" fillId="0" borderId="0">
      <alignment horizontal="left" vertical="center" indent="1"/>
    </xf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4" fontId="16" fillId="0" borderId="0" applyFont="0" applyFill="0" applyBorder="0" applyAlignment="0" applyProtection="0"/>
    <xf numFmtId="184" fontId="16" fillId="0" borderId="0" applyFont="0" applyFill="0" applyBorder="0" applyAlignment="0" applyProtection="0"/>
    <xf numFmtId="184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3" fontId="22" fillId="0" borderId="0" applyFont="0" applyFill="0" applyBorder="0" applyAlignment="0" applyProtection="0"/>
    <xf numFmtId="183" fontId="22" fillId="0" borderId="0" applyFont="0" applyFill="0" applyBorder="0" applyAlignment="0" applyProtection="0"/>
    <xf numFmtId="183" fontId="22" fillId="0" borderId="0" applyFont="0" applyFill="0" applyBorder="0" applyAlignment="0" applyProtection="0"/>
    <xf numFmtId="183" fontId="22" fillId="0" borderId="0" applyFont="0" applyFill="0" applyBorder="0" applyAlignment="0" applyProtection="0"/>
    <xf numFmtId="185" fontId="16" fillId="0" borderId="0" applyFont="0" applyFill="0" applyBorder="0" applyAlignment="0" applyProtection="0"/>
    <xf numFmtId="185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84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84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84" fontId="16" fillId="0" borderId="0" applyFont="0" applyFill="0" applyBorder="0" applyAlignment="0" applyProtection="0"/>
    <xf numFmtId="186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6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8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0" fontId="28" fillId="35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37" fontId="29" fillId="38" borderId="16" applyBorder="0">
      <alignment horizontal="left" vertical="center" indent="1"/>
    </xf>
    <xf numFmtId="37" fontId="30" fillId="0" borderId="17">
      <alignment vertical="center"/>
    </xf>
    <xf numFmtId="0" fontId="30" fillId="39" borderId="18" applyNumberFormat="0">
      <alignment horizontal="left" vertical="top" indent="1"/>
    </xf>
    <xf numFmtId="0" fontId="30" fillId="33" borderId="0" applyBorder="0">
      <alignment horizontal="left" vertical="center" indent="1"/>
    </xf>
    <xf numFmtId="0" fontId="30" fillId="0" borderId="18" applyNumberFormat="0" applyFill="0">
      <alignment horizontal="centerContinuous" vertical="top"/>
    </xf>
    <xf numFmtId="0" fontId="31" fillId="33" borderId="19" applyNumberFormat="0" applyBorder="0">
      <alignment horizontal="left" vertical="center" indent="1"/>
    </xf>
    <xf numFmtId="0" fontId="32" fillId="0" borderId="12" applyNumberFormat="0" applyFill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11" borderId="13" applyNumberFormat="0" applyAlignment="0" applyProtection="0"/>
    <xf numFmtId="0" fontId="35" fillId="40" borderId="0">
      <alignment horizontal="left" indent="1"/>
    </xf>
    <xf numFmtId="0" fontId="16" fillId="0" borderId="0"/>
    <xf numFmtId="0" fontId="22" fillId="0" borderId="0"/>
    <xf numFmtId="0" fontId="22" fillId="0" borderId="0"/>
    <xf numFmtId="0" fontId="16" fillId="0" borderId="0"/>
    <xf numFmtId="0" fontId="22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25" fillId="0" borderId="0"/>
    <xf numFmtId="0" fontId="14" fillId="0" borderId="0"/>
    <xf numFmtId="9" fontId="2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36" fillId="34" borderId="0">
      <alignment horizontal="left" indent="1"/>
    </xf>
    <xf numFmtId="0" fontId="37" fillId="0" borderId="0" applyNumberFormat="0" applyFill="0" applyBorder="0" applyAlignment="0" applyProtection="0"/>
    <xf numFmtId="0" fontId="16" fillId="41" borderId="0"/>
    <xf numFmtId="0" fontId="38" fillId="34" borderId="0" applyBorder="0">
      <alignment horizontal="left" vertical="center" indent="1"/>
    </xf>
    <xf numFmtId="16" fontId="39" fillId="0" borderId="0" applyNumberFormat="0" applyFont="0" applyFill="0" applyBorder="0">
      <alignment horizontal="left"/>
    </xf>
    <xf numFmtId="187" fontId="16" fillId="0" borderId="0" applyFont="0" applyFill="0" applyBorder="0" applyAlignment="0" applyProtection="0"/>
    <xf numFmtId="190" fontId="16" fillId="0" borderId="0" applyFont="0" applyFill="0" applyBorder="0" applyAlignment="0" applyProtection="0"/>
    <xf numFmtId="9" fontId="14" fillId="0" borderId="0" applyFont="0" applyFill="0" applyBorder="0" applyAlignment="0" applyProtection="0"/>
    <xf numFmtId="41" fontId="16" fillId="0" borderId="0" applyFont="0" applyFill="0" applyBorder="0" applyAlignment="0" applyProtection="0"/>
  </cellStyleXfs>
  <cellXfs count="47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0" xfId="0" applyAlignment="1">
      <alignment horizontal="right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left" vertical="center"/>
    </xf>
    <xf numFmtId="0" fontId="0" fillId="0" borderId="0" xfId="0" quotePrefix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3" fontId="0" fillId="0" borderId="1" xfId="0" applyNumberFormat="1" applyBorder="1" applyAlignment="1">
      <alignment horizontal="center" vertical="center"/>
    </xf>
    <xf numFmtId="9" fontId="0" fillId="0" borderId="0" xfId="0" applyNumberFormat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vertical="center"/>
    </xf>
    <xf numFmtId="0" fontId="3" fillId="4" borderId="0" xfId="0" applyFont="1" applyFill="1" applyAlignment="1">
      <alignment horizontal="left" vertical="center" indent="1"/>
    </xf>
    <xf numFmtId="0" fontId="3" fillId="4" borderId="0" xfId="0" applyFont="1" applyFill="1" applyAlignment="1">
      <alignment horizontal="left" vertical="center"/>
    </xf>
    <xf numFmtId="3" fontId="0" fillId="2" borderId="2" xfId="0" applyNumberFormat="1" applyFill="1" applyBorder="1" applyAlignment="1">
      <alignment horizontal="right" vertical="center" indent="1"/>
    </xf>
    <xf numFmtId="9" fontId="0" fillId="2" borderId="2" xfId="0" applyNumberFormat="1" applyFill="1" applyBorder="1" applyAlignment="1">
      <alignment horizontal="right" vertical="center" inden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quotePrefix="1" applyAlignment="1">
      <alignment horizontal="left" vertical="center"/>
    </xf>
    <xf numFmtId="1" fontId="6" fillId="0" borderId="3" xfId="0" applyNumberFormat="1" applyFont="1" applyBorder="1" applyAlignment="1">
      <alignment horizontal="left" vertical="center"/>
    </xf>
    <xf numFmtId="1" fontId="6" fillId="0" borderId="0" xfId="0" applyNumberFormat="1" applyFont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0" xfId="0" applyNumberFormat="1" applyAlignment="1">
      <alignment vertical="center"/>
    </xf>
    <xf numFmtId="0" fontId="3" fillId="4" borderId="0" xfId="0" applyFont="1" applyFill="1" applyBorder="1" applyAlignment="1">
      <alignment horizontal="left" vertical="center" indent="1"/>
    </xf>
    <xf numFmtId="0" fontId="3" fillId="4" borderId="4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165" fontId="3" fillId="4" borderId="4" xfId="0" applyNumberFormat="1" applyFont="1" applyFill="1" applyBorder="1" applyAlignment="1">
      <alignment horizontal="left" vertical="center"/>
    </xf>
    <xf numFmtId="3" fontId="0" fillId="2" borderId="0" xfId="0" applyNumberFormat="1" applyFill="1" applyAlignment="1">
      <alignment horizontal="right" vertical="center" indent="1"/>
    </xf>
    <xf numFmtId="9" fontId="0" fillId="2" borderId="0" xfId="0" applyNumberFormat="1" applyFill="1" applyAlignment="1">
      <alignment horizontal="right" vertical="center" indent="1"/>
    </xf>
    <xf numFmtId="0" fontId="1" fillId="0" borderId="0" xfId="0" applyFont="1" applyAlignment="1">
      <alignment vertical="center"/>
    </xf>
    <xf numFmtId="38" fontId="0" fillId="0" borderId="0" xfId="0" quotePrefix="1" applyNumberFormat="1" applyAlignment="1">
      <alignment horizontal="center" vertical="center"/>
    </xf>
    <xf numFmtId="38" fontId="0" fillId="0" borderId="0" xfId="0" applyNumberFormat="1" applyAlignment="1">
      <alignment horizontal="center" vertical="center"/>
    </xf>
    <xf numFmtId="38" fontId="0" fillId="0" borderId="0" xfId="0" applyNumberFormat="1" applyAlignment="1">
      <alignment horizontal="left" vertical="center"/>
    </xf>
    <xf numFmtId="3" fontId="0" fillId="0" borderId="0" xfId="0" applyNumberFormat="1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38" fontId="0" fillId="0" borderId="0" xfId="0" quotePrefix="1" applyNumberFormat="1" applyAlignment="1">
      <alignment horizontal="center" vertical="center"/>
    </xf>
    <xf numFmtId="38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quotePrefix="1" applyAlignment="1">
      <alignment horizontal="left" vertical="center"/>
    </xf>
    <xf numFmtId="0" fontId="0" fillId="0" borderId="1" xfId="0" applyBorder="1" applyAlignment="1">
      <alignment horizontal="center" vertical="center"/>
    </xf>
    <xf numFmtId="9" fontId="0" fillId="0" borderId="0" xfId="0" applyNumberFormat="1" applyAlignment="1">
      <alignment vertical="center"/>
    </xf>
    <xf numFmtId="9" fontId="0" fillId="0" borderId="0" xfId="0" applyNumberFormat="1" applyAlignment="1">
      <alignment horizontal="right" vertical="center"/>
    </xf>
    <xf numFmtId="10" fontId="0" fillId="0" borderId="0" xfId="0" applyNumberFormat="1" applyAlignment="1">
      <alignment vertical="center"/>
    </xf>
    <xf numFmtId="0" fontId="3" fillId="0" borderId="0" xfId="0" applyFont="1" applyFill="1" applyAlignment="1">
      <alignment horizontal="left" vertical="center" indent="1"/>
    </xf>
    <xf numFmtId="3" fontId="0" fillId="0" borderId="0" xfId="0" applyNumberFormat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9" fontId="0" fillId="0" borderId="0" xfId="0" quotePrefix="1" applyNumberFormat="1" applyAlignment="1">
      <alignment vertical="center"/>
    </xf>
    <xf numFmtId="10" fontId="0" fillId="0" borderId="0" xfId="0" quotePrefix="1" applyNumberFormat="1" applyAlignment="1">
      <alignment vertical="center"/>
    </xf>
    <xf numFmtId="0" fontId="0" fillId="0" borderId="0" xfId="0" applyAlignment="1">
      <alignment horizontal="right" vertical="center" indent="1"/>
    </xf>
    <xf numFmtId="0" fontId="3" fillId="6" borderId="0" xfId="0" applyFont="1" applyFill="1" applyAlignment="1">
      <alignment horizontal="left" vertical="center" indent="1"/>
    </xf>
    <xf numFmtId="3" fontId="3" fillId="6" borderId="0" xfId="0" applyNumberFormat="1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9" fontId="0" fillId="0" borderId="0" xfId="0" applyNumberFormat="1" applyFill="1" applyBorder="1" applyAlignment="1">
      <alignment horizontal="center" vertical="center"/>
    </xf>
    <xf numFmtId="0" fontId="0" fillId="0" borderId="0" xfId="0" applyFill="1" applyAlignment="1">
      <alignment horizontal="right" vertical="center" indent="1"/>
    </xf>
    <xf numFmtId="3" fontId="0" fillId="0" borderId="0" xfId="0" applyNumberFormat="1" applyFill="1" applyAlignment="1">
      <alignment horizontal="left" vertical="center"/>
    </xf>
    <xf numFmtId="0" fontId="7" fillId="0" borderId="0" xfId="0" applyFont="1" applyFill="1" applyAlignment="1">
      <alignment horizontal="left" vertical="center" indent="1"/>
    </xf>
    <xf numFmtId="3" fontId="7" fillId="0" borderId="0" xfId="0" applyNumberFormat="1" applyFont="1" applyFill="1" applyAlignment="1">
      <alignment vertical="center"/>
    </xf>
    <xf numFmtId="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 vertical="center" indent="1"/>
    </xf>
    <xf numFmtId="3" fontId="8" fillId="0" borderId="0" xfId="0" applyNumberFormat="1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7" fillId="5" borderId="0" xfId="0" applyFont="1" applyFill="1" applyAlignment="1">
      <alignment horizontal="left" vertical="center" indent="1"/>
    </xf>
    <xf numFmtId="9" fontId="8" fillId="0" borderId="0" xfId="0" applyNumberFormat="1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9" fontId="8" fillId="0" borderId="0" xfId="0" applyNumberFormat="1" applyFont="1" applyFill="1" applyBorder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37" fontId="0" fillId="0" borderId="0" xfId="0" applyNumberFormat="1" applyAlignment="1">
      <alignment vertical="center"/>
    </xf>
    <xf numFmtId="37" fontId="0" fillId="0" borderId="1" xfId="0" applyNumberFormat="1" applyBorder="1" applyAlignment="1">
      <alignment vertical="center"/>
    </xf>
    <xf numFmtId="3" fontId="0" fillId="0" borderId="0" xfId="0" applyNumberFormat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 indent="1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37" fontId="0" fillId="2" borderId="0" xfId="0" applyNumberFormat="1" applyFill="1" applyAlignment="1">
      <alignment horizontal="left" vertical="center" indent="1"/>
    </xf>
    <xf numFmtId="0" fontId="6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6" fillId="0" borderId="8" xfId="0" applyFont="1" applyBorder="1" applyAlignment="1">
      <alignment vertical="center"/>
    </xf>
    <xf numFmtId="3" fontId="0" fillId="0" borderId="0" xfId="0" quotePrefix="1" applyNumberFormat="1" applyAlignment="1">
      <alignment horizontal="left" vertical="center"/>
    </xf>
    <xf numFmtId="0" fontId="10" fillId="4" borderId="4" xfId="0" applyFont="1" applyFill="1" applyBorder="1" applyAlignment="1">
      <alignment vertical="center"/>
    </xf>
    <xf numFmtId="0" fontId="0" fillId="2" borderId="0" xfId="0" applyFill="1" applyAlignment="1">
      <alignment horizontal="right" vertical="center" indent="1"/>
    </xf>
    <xf numFmtId="169" fontId="0" fillId="2" borderId="0" xfId="0" applyNumberFormat="1" applyFill="1" applyAlignment="1">
      <alignment horizontal="right" vertical="center" indent="1"/>
    </xf>
    <xf numFmtId="1" fontId="11" fillId="0" borderId="8" xfId="0" applyNumberFormat="1" applyFont="1" applyBorder="1" applyAlignment="1">
      <alignment horizontal="left" vertical="center"/>
    </xf>
    <xf numFmtId="1" fontId="6" fillId="0" borderId="8" xfId="0" applyNumberFormat="1" applyFont="1" applyBorder="1" applyAlignment="1">
      <alignment vertic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0" fillId="0" borderId="0" xfId="0" applyBorder="1" applyAlignment="1">
      <alignment vertical="center"/>
    </xf>
    <xf numFmtId="1" fontId="6" fillId="0" borderId="0" xfId="0" applyNumberFormat="1" applyFont="1" applyBorder="1" applyAlignment="1">
      <alignment horizontal="left" vertical="center"/>
    </xf>
    <xf numFmtId="0" fontId="0" fillId="0" borderId="8" xfId="0" applyBorder="1" applyAlignment="1">
      <alignment horizontal="right" vertical="center"/>
    </xf>
    <xf numFmtId="169" fontId="0" fillId="0" borderId="0" xfId="0" applyNumberFormat="1" applyAlignment="1">
      <alignment vertical="center"/>
    </xf>
    <xf numFmtId="0" fontId="9" fillId="0" borderId="0" xfId="0" applyFont="1" applyBorder="1" applyAlignment="1">
      <alignment vertical="center"/>
    </xf>
    <xf numFmtId="0" fontId="0" fillId="7" borderId="0" xfId="0" applyFill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3" fontId="0" fillId="0" borderId="0" xfId="0" applyNumberFormat="1" applyBorder="1" applyAlignment="1">
      <alignment vertical="center"/>
    </xf>
    <xf numFmtId="9" fontId="0" fillId="0" borderId="0" xfId="0" applyNumberFormat="1" applyBorder="1" applyAlignment="1">
      <alignment vertical="center"/>
    </xf>
    <xf numFmtId="3" fontId="0" fillId="0" borderId="0" xfId="0" quotePrefix="1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right" vertical="center" indent="1"/>
    </xf>
    <xf numFmtId="0" fontId="3" fillId="4" borderId="0" xfId="0" applyFont="1" applyFill="1" applyAlignment="1">
      <alignment vertical="center"/>
    </xf>
    <xf numFmtId="3" fontId="0" fillId="2" borderId="2" xfId="0" applyNumberFormat="1" applyFill="1" applyBorder="1" applyAlignment="1">
      <alignment horizontal="left" vertical="center" indent="1"/>
    </xf>
    <xf numFmtId="0" fontId="6" fillId="0" borderId="8" xfId="0" applyFont="1" applyBorder="1" applyAlignment="1">
      <alignment horizontal="left" vertical="center"/>
    </xf>
    <xf numFmtId="0" fontId="0" fillId="6" borderId="0" xfId="0" applyFill="1" applyAlignment="1">
      <alignment vertical="center"/>
    </xf>
    <xf numFmtId="170" fontId="0" fillId="0" borderId="0" xfId="0" applyNumberFormat="1" applyAlignment="1">
      <alignment vertical="center"/>
    </xf>
    <xf numFmtId="3" fontId="0" fillId="0" borderId="0" xfId="0" quotePrefix="1" applyNumberFormat="1" applyAlignment="1">
      <alignment horizontal="left" vertical="center" indent="1"/>
    </xf>
    <xf numFmtId="0" fontId="1" fillId="8" borderId="0" xfId="0" applyFont="1" applyFill="1" applyAlignment="1">
      <alignment vertical="center"/>
    </xf>
    <xf numFmtId="10" fontId="0" fillId="2" borderId="0" xfId="0" applyNumberFormat="1" applyFill="1" applyAlignment="1">
      <alignment horizontal="right" vertical="center" indent="1"/>
    </xf>
    <xf numFmtId="0" fontId="13" fillId="0" borderId="0" xfId="0" applyFont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quotePrefix="1" applyAlignment="1">
      <alignment horizontal="left" vertical="center"/>
    </xf>
    <xf numFmtId="0" fontId="0" fillId="0" borderId="1" xfId="0" applyBorder="1" applyAlignment="1">
      <alignment horizontal="center" vertical="center"/>
    </xf>
    <xf numFmtId="38" fontId="0" fillId="0" borderId="0" xfId="0" quotePrefix="1" applyNumberFormat="1" applyAlignment="1">
      <alignment horizontal="center" vertical="center"/>
    </xf>
    <xf numFmtId="38" fontId="0" fillId="0" borderId="0" xfId="0" applyNumberFormat="1" applyAlignment="1">
      <alignment horizontal="center" vertical="center"/>
    </xf>
    <xf numFmtId="3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3" fontId="0" fillId="0" borderId="0" xfId="0" applyNumberForma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8" fontId="0" fillId="0" borderId="0" xfId="0" quotePrefix="1" applyNumberFormat="1" applyAlignment="1">
      <alignment horizontal="center" vertical="center"/>
    </xf>
    <xf numFmtId="38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quotePrefix="1" applyAlignment="1">
      <alignment horizontal="left" vertical="center"/>
    </xf>
    <xf numFmtId="10" fontId="0" fillId="0" borderId="0" xfId="0" quotePrefix="1" applyNumberFormat="1" applyAlignment="1">
      <alignment horizontal="left" vertical="center"/>
    </xf>
    <xf numFmtId="10" fontId="0" fillId="0" borderId="0" xfId="0" applyNumberForma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8" borderId="0" xfId="0" applyFill="1" applyAlignment="1">
      <alignment vertical="center"/>
    </xf>
    <xf numFmtId="3" fontId="0" fillId="9" borderId="0" xfId="0" applyNumberFormat="1" applyFill="1" applyAlignment="1">
      <alignment horizontal="right" vertical="center" indent="1"/>
    </xf>
    <xf numFmtId="3" fontId="0" fillId="9" borderId="0" xfId="0" applyNumberFormat="1" applyFill="1" applyBorder="1" applyAlignment="1">
      <alignment horizontal="left" vertical="center" indent="7"/>
    </xf>
    <xf numFmtId="3" fontId="15" fillId="0" borderId="0" xfId="0" applyNumberFormat="1" applyFont="1" applyAlignment="1">
      <alignment vertical="center"/>
    </xf>
    <xf numFmtId="3" fontId="0" fillId="0" borderId="0" xfId="0" quotePrefix="1" applyNumberFormat="1" applyBorder="1" applyAlignment="1">
      <alignment horizontal="left" vertical="center"/>
    </xf>
    <xf numFmtId="3" fontId="0" fillId="2" borderId="5" xfId="0" applyNumberFormat="1" applyFill="1" applyBorder="1" applyAlignment="1">
      <alignment horizontal="left" vertical="center" indent="7"/>
    </xf>
    <xf numFmtId="3" fontId="0" fillId="2" borderId="5" xfId="0" applyNumberFormat="1" applyFill="1" applyBorder="1" applyAlignment="1">
      <alignment horizontal="right" vertical="center" indent="1"/>
    </xf>
    <xf numFmtId="0" fontId="3" fillId="10" borderId="0" xfId="0" applyFont="1" applyFill="1" applyBorder="1" applyAlignment="1">
      <alignment horizontal="left" vertical="center" indent="1"/>
    </xf>
    <xf numFmtId="0" fontId="3" fillId="10" borderId="4" xfId="0" applyFont="1" applyFill="1" applyBorder="1" applyAlignment="1">
      <alignment vertical="center"/>
    </xf>
    <xf numFmtId="9" fontId="0" fillId="0" borderId="0" xfId="0" applyNumberForma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10" fontId="0" fillId="0" borderId="0" xfId="0" quotePrefix="1" applyNumberFormat="1" applyAlignment="1">
      <alignment horizontal="left" vertical="center"/>
    </xf>
    <xf numFmtId="10" fontId="0" fillId="0" borderId="0" xfId="0" applyNumberFormat="1" applyAlignment="1">
      <alignment horizontal="left" vertical="center"/>
    </xf>
    <xf numFmtId="3" fontId="0" fillId="0" borderId="0" xfId="0" quotePrefix="1" applyNumberFormat="1" applyAlignment="1">
      <alignment horizontal="left" vertical="center"/>
    </xf>
    <xf numFmtId="0" fontId="0" fillId="0" borderId="8" xfId="0" applyBorder="1" applyAlignment="1">
      <alignment horizontal="center" vertical="center"/>
    </xf>
    <xf numFmtId="167" fontId="0" fillId="2" borderId="0" xfId="0" applyNumberFormat="1" applyFill="1" applyAlignment="1">
      <alignment horizontal="right" vertical="center" indent="1"/>
    </xf>
    <xf numFmtId="175" fontId="0" fillId="0" borderId="0" xfId="0" applyNumberFormat="1" applyAlignment="1">
      <alignment horizontal="left" vertical="center"/>
    </xf>
    <xf numFmtId="176" fontId="0" fillId="0" borderId="0" xfId="0" quotePrefix="1" applyNumberFormat="1" applyAlignment="1">
      <alignment horizontal="left" vertical="center"/>
    </xf>
    <xf numFmtId="176" fontId="0" fillId="0" borderId="0" xfId="0" quotePrefix="1" applyNumberFormat="1" applyAlignment="1">
      <alignment vertical="center"/>
    </xf>
    <xf numFmtId="176" fontId="0" fillId="0" borderId="0" xfId="0" applyNumberFormat="1" applyAlignment="1">
      <alignment vertical="center"/>
    </xf>
    <xf numFmtId="176" fontId="0" fillId="0" borderId="0" xfId="0" applyNumberFormat="1" applyAlignment="1">
      <alignment horizontal="left" vertical="center"/>
    </xf>
    <xf numFmtId="177" fontId="0" fillId="0" borderId="0" xfId="0" applyNumberFormat="1" applyAlignment="1">
      <alignment horizontal="left" vertical="center"/>
    </xf>
    <xf numFmtId="3" fontId="0" fillId="0" borderId="1" xfId="0" quotePrefix="1" applyNumberFormat="1" applyBorder="1" applyAlignment="1">
      <alignment horizontal="center" vertical="center"/>
    </xf>
    <xf numFmtId="172" fontId="3" fillId="4" borderId="0" xfId="0" applyNumberFormat="1" applyFont="1" applyFill="1" applyAlignment="1">
      <alignment horizontal="left" vertical="center"/>
    </xf>
    <xf numFmtId="177" fontId="0" fillId="0" borderId="0" xfId="0" quotePrefix="1" applyNumberFormat="1" applyAlignment="1">
      <alignment horizontal="left" vertical="center"/>
    </xf>
    <xf numFmtId="179" fontId="0" fillId="0" borderId="0" xfId="0" applyNumberFormat="1" applyAlignment="1">
      <alignment horizontal="right" vertical="center" indent="1"/>
    </xf>
    <xf numFmtId="180" fontId="3" fillId="4" borderId="4" xfId="0" applyNumberFormat="1" applyFont="1" applyFill="1" applyBorder="1" applyAlignment="1">
      <alignment horizontal="left" vertical="center"/>
    </xf>
    <xf numFmtId="179" fontId="0" fillId="2" borderId="0" xfId="0" applyNumberFormat="1" applyFill="1" applyAlignment="1">
      <alignment horizontal="right" vertical="center" indent="1"/>
    </xf>
    <xf numFmtId="3" fontId="20" fillId="0" borderId="0" xfId="0" applyNumberFormat="1" applyFont="1" applyAlignment="1">
      <alignment vertical="center"/>
    </xf>
    <xf numFmtId="9" fontId="0" fillId="2" borderId="0" xfId="0" applyNumberFormat="1" applyFill="1" applyAlignment="1">
      <alignment horizontal="center" vertical="center"/>
    </xf>
    <xf numFmtId="0" fontId="0" fillId="0" borderId="0" xfId="0" quotePrefix="1" applyAlignment="1">
      <alignment horizontal="center" vertical="center"/>
    </xf>
    <xf numFmtId="9" fontId="0" fillId="0" borderId="0" xfId="0" quotePrefix="1" applyNumberFormat="1" applyAlignment="1">
      <alignment horizontal="left" vertical="center"/>
    </xf>
    <xf numFmtId="0" fontId="19" fillId="0" borderId="0" xfId="0" applyFont="1" applyAlignment="1">
      <alignment vertical="center"/>
    </xf>
    <xf numFmtId="3" fontId="0" fillId="0" borderId="0" xfId="0" applyNumberFormat="1" applyAlignment="1">
      <alignment horizontal="left" vertical="center" indent="1"/>
    </xf>
    <xf numFmtId="182" fontId="0" fillId="2" borderId="2" xfId="0" applyNumberFormat="1" applyFill="1" applyBorder="1" applyAlignment="1">
      <alignment horizontal="right" vertical="center" indent="1"/>
    </xf>
    <xf numFmtId="0" fontId="20" fillId="0" borderId="0" xfId="0" applyFont="1" applyAlignment="1">
      <alignment vertical="center"/>
    </xf>
    <xf numFmtId="3" fontId="8" fillId="0" borderId="0" xfId="0" applyNumberFormat="1" applyFont="1" applyFill="1" applyAlignment="1">
      <alignment vertical="center"/>
    </xf>
    <xf numFmtId="10" fontId="0" fillId="0" borderId="0" xfId="0" applyNumberFormat="1" applyAlignment="1">
      <alignment horizontal="left" vertical="center" indent="1"/>
    </xf>
    <xf numFmtId="3" fontId="0" fillId="0" borderId="0" xfId="0" applyNumberFormat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0" fontId="0" fillId="0" borderId="0" xfId="0" applyNumberFormat="1" applyAlignment="1">
      <alignment horizontal="left" vertical="center"/>
    </xf>
    <xf numFmtId="0" fontId="0" fillId="0" borderId="8" xfId="0" applyBorder="1" applyAlignment="1">
      <alignment horizontal="center" vertical="center"/>
    </xf>
    <xf numFmtId="3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22" fillId="0" borderId="0" xfId="96" applyFont="1" applyFill="1" applyBorder="1" applyAlignment="1">
      <alignment vertical="center"/>
    </xf>
    <xf numFmtId="0" fontId="22" fillId="0" borderId="0" xfId="96" quotePrefix="1" applyFont="1" applyFill="1" applyBorder="1" applyAlignment="1">
      <alignment horizontal="right" vertical="center"/>
    </xf>
    <xf numFmtId="191" fontId="22" fillId="0" borderId="0" xfId="96" applyNumberFormat="1" applyFont="1" applyFill="1" applyBorder="1" applyAlignment="1">
      <alignment vertical="center"/>
    </xf>
    <xf numFmtId="191" fontId="22" fillId="0" borderId="0" xfId="96" applyNumberFormat="1" applyFont="1" applyFill="1" applyBorder="1" applyAlignment="1">
      <alignment horizontal="left" vertical="center"/>
    </xf>
    <xf numFmtId="0" fontId="10" fillId="0" borderId="0" xfId="96" applyFont="1" applyFill="1" applyBorder="1" applyAlignment="1">
      <alignment vertical="center"/>
    </xf>
    <xf numFmtId="0" fontId="3" fillId="4" borderId="0" xfId="96" applyFont="1" applyFill="1" applyBorder="1" applyAlignment="1">
      <alignment vertical="center"/>
    </xf>
    <xf numFmtId="0" fontId="3" fillId="4" borderId="0" xfId="96" applyFont="1" applyFill="1" applyBorder="1" applyAlignment="1">
      <alignment horizontal="left" vertical="center" indent="1"/>
    </xf>
    <xf numFmtId="0" fontId="10" fillId="3" borderId="0" xfId="96" applyFont="1" applyFill="1" applyBorder="1" applyAlignment="1">
      <alignment vertical="center"/>
    </xf>
    <xf numFmtId="0" fontId="40" fillId="0" borderId="0" xfId="96" applyFont="1" applyFill="1" applyBorder="1" applyAlignment="1">
      <alignment vertical="center"/>
    </xf>
    <xf numFmtId="0" fontId="8" fillId="0" borderId="0" xfId="4" applyFont="1" applyAlignment="1">
      <alignment vertical="center"/>
    </xf>
    <xf numFmtId="0" fontId="41" fillId="0" borderId="0" xfId="4" applyFont="1" applyAlignment="1">
      <alignment vertical="center"/>
    </xf>
    <xf numFmtId="192" fontId="8" fillId="2" borderId="0" xfId="4" applyNumberFormat="1" applyFont="1" applyFill="1" applyAlignment="1">
      <alignment horizontal="center" vertical="center"/>
    </xf>
    <xf numFmtId="0" fontId="3" fillId="4" borderId="4" xfId="4" applyFont="1" applyFill="1" applyBorder="1" applyAlignment="1">
      <alignment vertical="center"/>
    </xf>
    <xf numFmtId="0" fontId="3" fillId="4" borderId="0" xfId="4" applyFont="1" applyFill="1" applyBorder="1" applyAlignment="1">
      <alignment horizontal="left" vertical="center" indent="1"/>
    </xf>
    <xf numFmtId="3" fontId="10" fillId="0" borderId="0" xfId="4" applyNumberFormat="1" applyFont="1" applyAlignment="1">
      <alignment vertical="center"/>
    </xf>
    <xf numFmtId="3" fontId="8" fillId="2" borderId="0" xfId="4" applyNumberFormat="1" applyFont="1" applyFill="1" applyAlignment="1">
      <alignment horizontal="right" vertical="center" indent="1"/>
    </xf>
    <xf numFmtId="0" fontId="3" fillId="4" borderId="4" xfId="4" applyFont="1" applyFill="1" applyBorder="1" applyAlignment="1">
      <alignment horizontal="left" vertical="center" indent="1"/>
    </xf>
    <xf numFmtId="0" fontId="3" fillId="4" borderId="0" xfId="4" applyFont="1" applyFill="1" applyBorder="1" applyAlignment="1">
      <alignment vertical="center"/>
    </xf>
    <xf numFmtId="0" fontId="10" fillId="0" borderId="0" xfId="4" applyFont="1" applyAlignment="1">
      <alignment vertical="center"/>
    </xf>
    <xf numFmtId="0" fontId="8" fillId="0" borderId="0" xfId="4" applyFont="1" applyAlignment="1">
      <alignment horizontal="right" vertical="center"/>
    </xf>
    <xf numFmtId="0" fontId="8" fillId="0" borderId="0" xfId="4" applyFont="1" applyAlignment="1">
      <alignment horizontal="center" vertical="center"/>
    </xf>
    <xf numFmtId="0" fontId="8" fillId="0" borderId="0" xfId="4" quotePrefix="1" applyFont="1" applyAlignment="1">
      <alignment vertical="center"/>
    </xf>
    <xf numFmtId="0" fontId="41" fillId="0" borderId="0" xfId="4" quotePrefix="1" applyFont="1" applyAlignment="1">
      <alignment horizontal="left" vertical="center" indent="1"/>
    </xf>
    <xf numFmtId="0" fontId="8" fillId="0" borderId="0" xfId="4" applyFont="1" applyAlignment="1">
      <alignment horizontal="left" vertical="center" indent="2"/>
    </xf>
    <xf numFmtId="3" fontId="8" fillId="2" borderId="6" xfId="4" applyNumberFormat="1" applyFont="1" applyFill="1" applyBorder="1" applyAlignment="1">
      <alignment vertical="center"/>
    </xf>
    <xf numFmtId="0" fontId="8" fillId="43" borderId="7" xfId="4" applyFont="1" applyFill="1" applyBorder="1" applyAlignment="1">
      <alignment horizontal="center" vertical="center"/>
    </xf>
    <xf numFmtId="0" fontId="10" fillId="12" borderId="6" xfId="4" applyFont="1" applyFill="1" applyBorder="1" applyAlignment="1">
      <alignment horizontal="left" vertical="center" indent="2"/>
    </xf>
    <xf numFmtId="3" fontId="8" fillId="2" borderId="0" xfId="4" applyNumberFormat="1" applyFont="1" applyFill="1" applyBorder="1" applyAlignment="1">
      <alignment vertical="center"/>
    </xf>
    <xf numFmtId="0" fontId="8" fillId="43" borderId="5" xfId="4" applyFont="1" applyFill="1" applyBorder="1" applyAlignment="1">
      <alignment horizontal="center" vertical="center"/>
    </xf>
    <xf numFmtId="0" fontId="10" fillId="12" borderId="0" xfId="4" applyFont="1" applyFill="1" applyBorder="1" applyAlignment="1">
      <alignment horizontal="left" vertical="center" indent="2"/>
    </xf>
    <xf numFmtId="0" fontId="8" fillId="3" borderId="0" xfId="4" applyFont="1" applyFill="1" applyAlignment="1">
      <alignment vertical="center"/>
    </xf>
    <xf numFmtId="0" fontId="3" fillId="12" borderId="6" xfId="4" applyFont="1" applyFill="1" applyBorder="1" applyAlignment="1">
      <alignment horizontal="center" vertical="center"/>
    </xf>
    <xf numFmtId="0" fontId="40" fillId="0" borderId="0" xfId="4" applyFont="1" applyAlignment="1">
      <alignment vertical="center"/>
    </xf>
    <xf numFmtId="3" fontId="8" fillId="0" borderId="0" xfId="4" applyNumberFormat="1" applyFont="1" applyAlignment="1">
      <alignment vertical="center"/>
    </xf>
    <xf numFmtId="0" fontId="8" fillId="0" borderId="1" xfId="4" applyFont="1" applyBorder="1" applyAlignment="1">
      <alignment vertical="center"/>
    </xf>
    <xf numFmtId="9" fontId="8" fillId="0" borderId="0" xfId="4" applyNumberFormat="1" applyFont="1" applyAlignment="1">
      <alignment vertical="center"/>
    </xf>
    <xf numFmtId="3" fontId="8" fillId="0" borderId="0" xfId="4" applyNumberFormat="1" applyFont="1" applyAlignment="1">
      <alignment horizontal="left" vertical="center"/>
    </xf>
    <xf numFmtId="0" fontId="44" fillId="0" borderId="0" xfId="4" applyFont="1" applyAlignment="1">
      <alignment vertical="center"/>
    </xf>
    <xf numFmtId="3" fontId="8" fillId="0" borderId="0" xfId="4" applyNumberFormat="1" applyFont="1" applyAlignment="1">
      <alignment horizontal="right" vertical="center" indent="1"/>
    </xf>
    <xf numFmtId="176" fontId="8" fillId="0" borderId="0" xfId="4" applyNumberFormat="1" applyFont="1" applyAlignment="1">
      <alignment horizontal="center" vertical="center"/>
    </xf>
    <xf numFmtId="0" fontId="45" fillId="0" borderId="0" xfId="4" applyFont="1" applyAlignment="1">
      <alignment vertical="center"/>
    </xf>
    <xf numFmtId="0" fontId="22" fillId="3" borderId="0" xfId="96" applyFont="1" applyFill="1" applyBorder="1" applyAlignment="1">
      <alignment vertical="center"/>
    </xf>
    <xf numFmtId="0" fontId="8" fillId="0" borderId="0" xfId="96" applyFont="1" applyFill="1" applyBorder="1" applyAlignment="1">
      <alignment vertical="center"/>
    </xf>
    <xf numFmtId="0" fontId="20" fillId="0" borderId="0" xfId="96" applyFont="1" applyFill="1" applyBorder="1" applyAlignment="1">
      <alignment vertical="center"/>
    </xf>
    <xf numFmtId="3" fontId="22" fillId="2" borderId="2" xfId="96" applyNumberFormat="1" applyFont="1" applyFill="1" applyBorder="1" applyAlignment="1">
      <alignment horizontal="right" vertical="center" indent="1"/>
    </xf>
    <xf numFmtId="0" fontId="3" fillId="12" borderId="0" xfId="4" applyFont="1" applyFill="1" applyBorder="1" applyAlignment="1">
      <alignment horizontal="left" vertical="center" indent="1"/>
    </xf>
    <xf numFmtId="0" fontId="3" fillId="12" borderId="6" xfId="4" applyFont="1" applyFill="1" applyBorder="1" applyAlignment="1">
      <alignment horizontal="left" vertical="center" indent="1"/>
    </xf>
    <xf numFmtId="0" fontId="17" fillId="0" borderId="0" xfId="4" applyFont="1" applyAlignment="1">
      <alignment vertical="center"/>
    </xf>
    <xf numFmtId="9" fontId="8" fillId="0" borderId="0" xfId="4" applyNumberFormat="1" applyFont="1" applyAlignment="1">
      <alignment horizontal="left" vertical="center"/>
    </xf>
    <xf numFmtId="0" fontId="8" fillId="0" borderId="0" xfId="4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/>
    </xf>
    <xf numFmtId="0" fontId="8" fillId="0" borderId="0" xfId="4" applyFont="1" applyBorder="1" applyAlignment="1">
      <alignment horizontal="left" vertical="center"/>
    </xf>
    <xf numFmtId="0" fontId="8" fillId="0" borderId="1" xfId="4" applyFont="1" applyBorder="1" applyAlignment="1">
      <alignment horizontal="left" vertical="center"/>
    </xf>
    <xf numFmtId="0" fontId="43" fillId="0" borderId="0" xfId="4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1" fontId="43" fillId="0" borderId="0" xfId="4" applyNumberFormat="1" applyFont="1" applyAlignment="1">
      <alignment vertical="center"/>
    </xf>
    <xf numFmtId="0" fontId="43" fillId="0" borderId="0" xfId="4" applyNumberFormat="1" applyFont="1" applyAlignment="1">
      <alignment horizontal="left" vertical="center"/>
    </xf>
    <xf numFmtId="1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72" fontId="3" fillId="4" borderId="0" xfId="0" applyNumberFormat="1" applyFont="1" applyFill="1" applyBorder="1" applyAlignment="1">
      <alignment horizontal="left" vertical="center" indent="1"/>
    </xf>
    <xf numFmtId="0" fontId="46" fillId="0" borderId="0" xfId="0" applyFont="1" applyAlignment="1">
      <alignment vertical="center"/>
    </xf>
    <xf numFmtId="0" fontId="8" fillId="0" borderId="0" xfId="4" applyFont="1" applyFill="1" applyBorder="1" applyAlignment="1">
      <alignment vertical="center"/>
    </xf>
    <xf numFmtId="0" fontId="47" fillId="0" borderId="0" xfId="4" applyFont="1" applyFill="1" applyBorder="1" applyAlignment="1">
      <alignment horizontal="left" vertical="center"/>
    </xf>
    <xf numFmtId="0" fontId="10" fillId="0" borderId="0" xfId="4" applyFont="1" applyFill="1" applyBorder="1" applyAlignment="1">
      <alignment vertical="center"/>
    </xf>
    <xf numFmtId="0" fontId="10" fillId="0" borderId="0" xfId="4" applyFont="1" applyFill="1" applyBorder="1" applyAlignment="1">
      <alignment horizontal="center" vertical="center"/>
    </xf>
    <xf numFmtId="0" fontId="48" fillId="0" borderId="0" xfId="4" applyFont="1" applyFill="1" applyBorder="1" applyAlignment="1">
      <alignment horizontal="center" vertical="center"/>
    </xf>
    <xf numFmtId="0" fontId="49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left" vertical="center"/>
    </xf>
    <xf numFmtId="38" fontId="8" fillId="0" borderId="0" xfId="4" applyNumberFormat="1" applyFont="1" applyFill="1" applyBorder="1" applyAlignment="1" applyProtection="1">
      <alignment vertical="center"/>
      <protection hidden="1"/>
    </xf>
    <xf numFmtId="0" fontId="8" fillId="0" borderId="0" xfId="4" applyFont="1" applyFill="1" applyBorder="1" applyAlignment="1">
      <alignment horizontal="center" vertical="center"/>
    </xf>
    <xf numFmtId="0" fontId="3" fillId="4" borderId="0" xfId="4" applyFont="1" applyFill="1" applyBorder="1" applyAlignment="1">
      <alignment horizontal="right" vertical="center" indent="5"/>
    </xf>
    <xf numFmtId="3" fontId="8" fillId="2" borderId="5" xfId="4" applyNumberFormat="1" applyFont="1" applyFill="1" applyBorder="1" applyAlignment="1">
      <alignment horizontal="right" vertical="center" indent="1"/>
    </xf>
    <xf numFmtId="169" fontId="8" fillId="2" borderId="5" xfId="4" applyNumberFormat="1" applyFont="1" applyFill="1" applyBorder="1" applyAlignment="1">
      <alignment horizontal="right" vertical="center" indent="1"/>
    </xf>
    <xf numFmtId="9" fontId="8" fillId="2" borderId="5" xfId="4" applyNumberFormat="1" applyFont="1" applyFill="1" applyBorder="1" applyAlignment="1">
      <alignment horizontal="right" vertical="center" indent="1"/>
    </xf>
    <xf numFmtId="0" fontId="8" fillId="3" borderId="0" xfId="4" applyFont="1" applyFill="1" applyBorder="1" applyAlignment="1">
      <alignment vertical="center"/>
    </xf>
    <xf numFmtId="194" fontId="3" fillId="4" borderId="5" xfId="4" applyNumberFormat="1" applyFont="1" applyFill="1" applyBorder="1" applyAlignment="1">
      <alignment horizontal="left" vertical="center" indent="1"/>
    </xf>
    <xf numFmtId="194" fontId="3" fillId="4" borderId="0" xfId="4" applyNumberFormat="1" applyFont="1" applyFill="1" applyBorder="1" applyAlignment="1">
      <alignment horizontal="left" vertical="center" indent="1"/>
    </xf>
    <xf numFmtId="37" fontId="8" fillId="2" borderId="0" xfId="4" applyNumberFormat="1" applyFont="1" applyFill="1" applyBorder="1" applyAlignment="1">
      <alignment vertical="center"/>
    </xf>
    <xf numFmtId="0" fontId="8" fillId="0" borderId="0" xfId="4" applyFont="1" applyFill="1" applyBorder="1" applyAlignment="1">
      <alignment horizontal="left" vertical="center"/>
    </xf>
    <xf numFmtId="0" fontId="3" fillId="4" borderId="0" xfId="4" applyFont="1" applyFill="1" applyBorder="1" applyAlignment="1">
      <alignment horizontal="right" vertical="center" indent="1"/>
    </xf>
    <xf numFmtId="38" fontId="8" fillId="2" borderId="5" xfId="4" applyNumberFormat="1" applyFont="1" applyFill="1" applyBorder="1" applyAlignment="1">
      <alignment vertical="center"/>
    </xf>
    <xf numFmtId="0" fontId="10" fillId="4" borderId="0" xfId="4" applyFont="1" applyFill="1" applyBorder="1" applyAlignment="1">
      <alignment vertical="center"/>
    </xf>
    <xf numFmtId="0" fontId="10" fillId="12" borderId="0" xfId="4" applyFont="1" applyFill="1" applyBorder="1" applyAlignment="1">
      <alignment vertical="center"/>
    </xf>
    <xf numFmtId="0" fontId="3" fillId="12" borderId="0" xfId="4" applyFont="1" applyFill="1" applyBorder="1" applyAlignment="1">
      <alignment horizontal="left" vertical="center" indent="7"/>
    </xf>
    <xf numFmtId="3" fontId="8" fillId="0" borderId="0" xfId="4" applyNumberFormat="1" applyFont="1" applyFill="1" applyBorder="1" applyAlignment="1">
      <alignment vertical="center"/>
    </xf>
    <xf numFmtId="0" fontId="48" fillId="3" borderId="0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right" vertical="center"/>
    </xf>
    <xf numFmtId="3" fontId="8" fillId="0" borderId="1" xfId="4" applyNumberFormat="1" applyFont="1" applyFill="1" applyBorder="1" applyAlignment="1">
      <alignment vertical="center"/>
    </xf>
    <xf numFmtId="0" fontId="8" fillId="0" borderId="1" xfId="4" applyFont="1" applyFill="1" applyBorder="1" applyAlignment="1">
      <alignment vertical="center"/>
    </xf>
    <xf numFmtId="3" fontId="8" fillId="0" borderId="0" xfId="4" applyNumberFormat="1" applyFont="1" applyFill="1" applyBorder="1" applyAlignment="1">
      <alignment horizontal="left" vertical="center"/>
    </xf>
    <xf numFmtId="165" fontId="8" fillId="2" borderId="0" xfId="4" applyNumberFormat="1" applyFont="1" applyFill="1" applyBorder="1" applyAlignment="1">
      <alignment horizontal="center" vertical="center"/>
    </xf>
    <xf numFmtId="0" fontId="8" fillId="2" borderId="0" xfId="4" applyFont="1" applyFill="1" applyBorder="1" applyAlignment="1">
      <alignment vertical="center"/>
    </xf>
    <xf numFmtId="3" fontId="8" fillId="2" borderId="0" xfId="4" applyNumberFormat="1" applyFont="1" applyFill="1" applyBorder="1" applyAlignment="1">
      <alignment horizontal="right" vertical="center" indent="1"/>
    </xf>
    <xf numFmtId="3" fontId="8" fillId="2" borderId="3" xfId="4" applyNumberFormat="1" applyFont="1" applyFill="1" applyBorder="1" applyAlignment="1">
      <alignment horizontal="right" vertical="center" indent="1"/>
    </xf>
    <xf numFmtId="3" fontId="8" fillId="2" borderId="1" xfId="4" applyNumberFormat="1" applyFont="1" applyFill="1" applyBorder="1" applyAlignment="1">
      <alignment horizontal="right" vertical="center" indent="1"/>
    </xf>
    <xf numFmtId="165" fontId="8" fillId="2" borderId="21" xfId="4" applyNumberFormat="1" applyFont="1" applyFill="1" applyBorder="1" applyAlignment="1">
      <alignment horizontal="center" vertical="center"/>
    </xf>
    <xf numFmtId="0" fontId="8" fillId="2" borderId="21" xfId="4" applyFont="1" applyFill="1" applyBorder="1" applyAlignment="1">
      <alignment vertical="center"/>
    </xf>
    <xf numFmtId="3" fontId="8" fillId="2" borderId="21" xfId="4" applyNumberFormat="1" applyFont="1" applyFill="1" applyBorder="1" applyAlignment="1">
      <alignment horizontal="right" vertical="center" indent="1"/>
    </xf>
    <xf numFmtId="3" fontId="8" fillId="2" borderId="22" xfId="4" applyNumberFormat="1" applyFont="1" applyFill="1" applyBorder="1" applyAlignment="1">
      <alignment horizontal="right" vertical="center" indent="1"/>
    </xf>
    <xf numFmtId="3" fontId="8" fillId="2" borderId="23" xfId="4" applyNumberFormat="1" applyFont="1" applyFill="1" applyBorder="1" applyAlignment="1">
      <alignment horizontal="right" vertical="center" indent="1"/>
    </xf>
    <xf numFmtId="10" fontId="8" fillId="0" borderId="0" xfId="4" applyNumberFormat="1" applyFont="1" applyFill="1" applyBorder="1" applyAlignment="1">
      <alignment horizontal="left" vertical="center"/>
    </xf>
    <xf numFmtId="0" fontId="17" fillId="0" borderId="0" xfId="4" applyFont="1" applyFill="1" applyBorder="1" applyAlignment="1">
      <alignment vertical="center"/>
    </xf>
    <xf numFmtId="0" fontId="3" fillId="4" borderId="14" xfId="4" applyFont="1" applyFill="1" applyBorder="1" applyAlignment="1">
      <alignment horizontal="left" vertical="center" indent="1"/>
    </xf>
    <xf numFmtId="0" fontId="3" fillId="4" borderId="6" xfId="4" applyFont="1" applyFill="1" applyBorder="1" applyAlignment="1">
      <alignment horizontal="left" vertical="center" indent="1"/>
    </xf>
    <xf numFmtId="0" fontId="22" fillId="0" borderId="0" xfId="96" applyFont="1" applyFill="1" applyAlignment="1">
      <alignment vertical="center"/>
    </xf>
    <xf numFmtId="0" fontId="0" fillId="0" borderId="0" xfId="0" applyAlignment="1">
      <alignment horizontal="right" vertical="center"/>
    </xf>
    <xf numFmtId="0" fontId="20" fillId="0" borderId="0" xfId="0" quotePrefix="1" applyFont="1" applyFill="1" applyAlignment="1">
      <alignment vertical="center"/>
    </xf>
    <xf numFmtId="0" fontId="3" fillId="4" borderId="6" xfId="0" applyFont="1" applyFill="1" applyBorder="1" applyAlignment="1">
      <alignment horizontal="left" vertical="center" indent="1"/>
    </xf>
    <xf numFmtId="165" fontId="3" fillId="4" borderId="20" xfId="0" applyNumberFormat="1" applyFont="1" applyFill="1" applyBorder="1" applyAlignment="1">
      <alignment horizontal="left" vertical="center"/>
    </xf>
    <xf numFmtId="3" fontId="0" fillId="2" borderId="7" xfId="0" applyNumberFormat="1" applyFill="1" applyBorder="1" applyAlignment="1">
      <alignment horizontal="right" vertical="center" indent="1"/>
    </xf>
    <xf numFmtId="3" fontId="0" fillId="9" borderId="6" xfId="0" applyNumberFormat="1" applyFill="1" applyBorder="1" applyAlignment="1">
      <alignment horizontal="right" vertical="center" indent="1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0" fontId="0" fillId="0" borderId="0" xfId="0" applyNumberFormat="1" applyAlignment="1">
      <alignment horizontal="left" vertical="center"/>
    </xf>
    <xf numFmtId="0" fontId="0" fillId="0" borderId="8" xfId="0" applyBorder="1" applyAlignment="1">
      <alignment horizontal="right" vertical="center"/>
    </xf>
    <xf numFmtId="0" fontId="8" fillId="0" borderId="0" xfId="4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quotePrefix="1" applyAlignment="1">
      <alignment horizontal="left" vertical="center"/>
    </xf>
    <xf numFmtId="3" fontId="0" fillId="0" borderId="1" xfId="0" applyNumberFormat="1" applyBorder="1" applyAlignment="1">
      <alignment horizontal="left" vertical="center"/>
    </xf>
    <xf numFmtId="0" fontId="3" fillId="4" borderId="6" xfId="96" applyFont="1" applyFill="1" applyBorder="1" applyAlignment="1">
      <alignment horizontal="left" vertical="center" indent="1"/>
    </xf>
    <xf numFmtId="0" fontId="22" fillId="4" borderId="20" xfId="96" applyFont="1" applyFill="1" applyBorder="1" applyAlignment="1">
      <alignment horizontal="left" vertical="center"/>
    </xf>
    <xf numFmtId="169" fontId="22" fillId="2" borderId="6" xfId="96" applyNumberFormat="1" applyFont="1" applyFill="1" applyBorder="1" applyAlignment="1">
      <alignment horizontal="right" vertical="center" indent="1"/>
    </xf>
    <xf numFmtId="192" fontId="8" fillId="2" borderId="0" xfId="4" applyNumberFormat="1" applyFont="1" applyFill="1" applyBorder="1" applyAlignment="1">
      <alignment horizontal="right" vertical="center" indent="1"/>
    </xf>
    <xf numFmtId="0" fontId="3" fillId="4" borderId="20" xfId="4" applyFont="1" applyFill="1" applyBorder="1" applyAlignment="1">
      <alignment vertical="center"/>
    </xf>
    <xf numFmtId="9" fontId="8" fillId="2" borderId="6" xfId="4" applyNumberFormat="1" applyFont="1" applyFill="1" applyBorder="1" applyAlignment="1">
      <alignment horizontal="right" vertical="center" indent="1"/>
    </xf>
    <xf numFmtId="9" fontId="8" fillId="2" borderId="0" xfId="4" applyNumberFormat="1" applyFont="1" applyFill="1" applyBorder="1" applyAlignment="1">
      <alignment horizontal="right" vertical="center" indent="1"/>
    </xf>
    <xf numFmtId="193" fontId="8" fillId="2" borderId="6" xfId="4" applyNumberFormat="1" applyFont="1" applyFill="1" applyBorder="1" applyAlignment="1">
      <alignment horizontal="right" vertical="center" indent="1"/>
    </xf>
    <xf numFmtId="0" fontId="8" fillId="0" borderId="0" xfId="4" quotePrefix="1" applyFont="1" applyFill="1" applyBorder="1" applyAlignment="1">
      <alignment vertical="center"/>
    </xf>
    <xf numFmtId="0" fontId="17" fillId="0" borderId="0" xfId="4" quotePrefix="1" applyFont="1" applyFill="1" applyBorder="1" applyAlignment="1">
      <alignment vertical="center" wrapText="1"/>
    </xf>
    <xf numFmtId="0" fontId="3" fillId="4" borderId="14" xfId="4" applyFont="1" applyFill="1" applyBorder="1" applyAlignment="1">
      <alignment horizontal="right" vertical="center" indent="1"/>
    </xf>
    <xf numFmtId="38" fontId="8" fillId="2" borderId="25" xfId="4" applyNumberFormat="1" applyFont="1" applyFill="1" applyBorder="1" applyAlignment="1">
      <alignment vertical="center"/>
    </xf>
    <xf numFmtId="0" fontId="3" fillId="4" borderId="6" xfId="4" applyFont="1" applyFill="1" applyBorder="1" applyAlignment="1">
      <alignment horizontal="right" vertical="center" indent="1"/>
    </xf>
    <xf numFmtId="195" fontId="8" fillId="2" borderId="7" xfId="4" applyNumberFormat="1" applyFont="1" applyFill="1" applyBorder="1" applyAlignment="1">
      <alignment vertical="center"/>
    </xf>
    <xf numFmtId="0" fontId="3" fillId="12" borderId="6" xfId="4" applyFont="1" applyFill="1" applyBorder="1" applyAlignment="1">
      <alignment horizontal="left" vertical="center" indent="7"/>
    </xf>
    <xf numFmtId="0" fontId="10" fillId="12" borderId="6" xfId="4" applyFont="1" applyFill="1" applyBorder="1" applyAlignment="1">
      <alignment vertical="center"/>
    </xf>
    <xf numFmtId="0" fontId="3" fillId="4" borderId="20" xfId="0" applyFont="1" applyFill="1" applyBorder="1" applyAlignment="1">
      <alignment vertical="center"/>
    </xf>
    <xf numFmtId="9" fontId="0" fillId="2" borderId="6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right" vertical="center" indent="1"/>
    </xf>
    <xf numFmtId="179" fontId="0" fillId="2" borderId="6" xfId="0" applyNumberFormat="1" applyFill="1" applyBorder="1" applyAlignment="1">
      <alignment horizontal="right" vertical="center" indent="1"/>
    </xf>
    <xf numFmtId="0" fontId="0" fillId="2" borderId="5" xfId="0" applyFill="1" applyBorder="1" applyAlignment="1">
      <alignment horizontal="center" vertical="center"/>
    </xf>
    <xf numFmtId="0" fontId="10" fillId="4" borderId="20" xfId="0" applyFont="1" applyFill="1" applyBorder="1" applyAlignment="1">
      <alignment vertical="center"/>
    </xf>
    <xf numFmtId="0" fontId="53" fillId="0" borderId="0" xfId="0" quotePrefix="1" applyFont="1" applyFill="1" applyAlignment="1">
      <alignment vertical="center" wrapText="1"/>
    </xf>
    <xf numFmtId="4" fontId="0" fillId="0" borderId="0" xfId="0" applyNumberFormat="1" applyAlignment="1">
      <alignment horizontal="center" vertical="center"/>
    </xf>
    <xf numFmtId="37" fontId="8" fillId="0" borderId="0" xfId="4" applyNumberFormat="1" applyFont="1" applyFill="1" applyBorder="1" applyAlignment="1">
      <alignment vertical="center"/>
    </xf>
    <xf numFmtId="3" fontId="0" fillId="0" borderId="0" xfId="0" applyNumberFormat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quotePrefix="1" applyAlignment="1">
      <alignment horizontal="left" vertical="center"/>
    </xf>
    <xf numFmtId="0" fontId="0" fillId="0" borderId="0" xfId="0" applyAlignment="1">
      <alignment horizontal="left" vertical="center"/>
    </xf>
    <xf numFmtId="0" fontId="20" fillId="44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44" borderId="0" xfId="0" applyFont="1" applyFill="1" applyBorder="1" applyAlignment="1">
      <alignment horizontal="center" vertical="center" wrapText="1"/>
    </xf>
    <xf numFmtId="0" fontId="20" fillId="44" borderId="6" xfId="0" applyFont="1" applyFill="1" applyBorder="1" applyAlignment="1">
      <alignment horizontal="center" vertical="center" wrapText="1"/>
    </xf>
    <xf numFmtId="0" fontId="20" fillId="45" borderId="0" xfId="0" applyFont="1" applyFill="1" applyAlignment="1">
      <alignment horizontal="center" vertical="center" wrapText="1"/>
    </xf>
    <xf numFmtId="3" fontId="0" fillId="0" borderId="0" xfId="0" quotePrefix="1" applyNumberFormat="1" applyAlignment="1">
      <alignment horizontal="left" vertical="center"/>
    </xf>
    <xf numFmtId="0" fontId="0" fillId="0" borderId="0" xfId="0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20" fillId="45" borderId="0" xfId="0" quotePrefix="1" applyFont="1" applyFill="1" applyBorder="1" applyAlignment="1">
      <alignment horizontal="center" vertical="center" wrapText="1"/>
    </xf>
    <xf numFmtId="0" fontId="20" fillId="45" borderId="6" xfId="0" quotePrefix="1" applyFont="1" applyFill="1" applyBorder="1" applyAlignment="1">
      <alignment horizontal="center" vertical="center" wrapText="1"/>
    </xf>
    <xf numFmtId="0" fontId="3" fillId="6" borderId="0" xfId="0" quotePrefix="1" applyFont="1" applyFill="1" applyAlignment="1">
      <alignment horizontal="center" vertical="center" wrapText="1"/>
    </xf>
    <xf numFmtId="38" fontId="0" fillId="0" borderId="0" xfId="0" quotePrefix="1" applyNumberFormat="1" applyAlignment="1">
      <alignment horizontal="center" vertical="center"/>
    </xf>
    <xf numFmtId="38" fontId="0" fillId="0" borderId="0" xfId="0" applyNumberFormat="1" applyAlignment="1">
      <alignment horizontal="center" vertical="center"/>
    </xf>
    <xf numFmtId="0" fontId="20" fillId="45" borderId="0" xfId="0" quotePrefix="1" applyFont="1" applyFill="1" applyAlignment="1">
      <alignment horizontal="center" vertical="center" wrapText="1"/>
    </xf>
    <xf numFmtId="0" fontId="50" fillId="6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right" vertical="center"/>
    </xf>
    <xf numFmtId="3" fontId="0" fillId="0" borderId="0" xfId="0" applyNumberFormat="1" applyBorder="1" applyAlignment="1">
      <alignment horizontal="left" vertical="center"/>
    </xf>
    <xf numFmtId="0" fontId="50" fillId="6" borderId="0" xfId="0" quotePrefix="1" applyFont="1" applyFill="1" applyAlignment="1">
      <alignment horizontal="center" vertical="center"/>
    </xf>
    <xf numFmtId="171" fontId="0" fillId="0" borderId="0" xfId="0" applyNumberFormat="1" applyAlignment="1">
      <alignment horizontal="left" vertical="center"/>
    </xf>
    <xf numFmtId="0" fontId="0" fillId="46" borderId="0" xfId="0" applyFill="1" applyAlignment="1">
      <alignment horizontal="center" vertical="center" wrapText="1"/>
    </xf>
    <xf numFmtId="0" fontId="51" fillId="6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9" fontId="0" fillId="0" borderId="0" xfId="0" applyNumberFormat="1" applyAlignment="1">
      <alignment horizontal="left" vertical="center"/>
    </xf>
    <xf numFmtId="3" fontId="0" fillId="0" borderId="0" xfId="0" quotePrefix="1" applyNumberFormat="1" applyBorder="1" applyAlignment="1">
      <alignment horizontal="left" vertical="center"/>
    </xf>
    <xf numFmtId="9" fontId="1" fillId="6" borderId="2" xfId="0" applyNumberFormat="1" applyFont="1" applyFill="1" applyBorder="1" applyAlignment="1">
      <alignment horizontal="center" vertical="center"/>
    </xf>
    <xf numFmtId="9" fontId="1" fillId="6" borderId="0" xfId="0" applyNumberFormat="1" applyFont="1" applyFill="1" applyBorder="1" applyAlignment="1">
      <alignment horizontal="center" vertical="center"/>
    </xf>
    <xf numFmtId="3" fontId="52" fillId="0" borderId="0" xfId="0" applyNumberFormat="1" applyFont="1" applyAlignment="1">
      <alignment horizontal="left" vertical="center"/>
    </xf>
    <xf numFmtId="0" fontId="20" fillId="47" borderId="0" xfId="0" applyFont="1" applyFill="1" applyAlignment="1">
      <alignment horizontal="center" vertical="center" wrapText="1"/>
    </xf>
    <xf numFmtId="166" fontId="0" fillId="0" borderId="0" xfId="0" applyNumberFormat="1" applyAlignment="1">
      <alignment horizontal="left" vertical="center"/>
    </xf>
    <xf numFmtId="167" fontId="0" fillId="0" borderId="0" xfId="0" applyNumberFormat="1" applyAlignment="1">
      <alignment horizontal="left" vertical="center"/>
    </xf>
    <xf numFmtId="10" fontId="0" fillId="0" borderId="0" xfId="0" quotePrefix="1" applyNumberFormat="1" applyAlignment="1">
      <alignment horizontal="left" vertical="center"/>
    </xf>
    <xf numFmtId="10" fontId="0" fillId="0" borderId="0" xfId="0" applyNumberFormat="1" applyAlignment="1">
      <alignment horizontal="left" vertical="center"/>
    </xf>
    <xf numFmtId="3" fontId="8" fillId="0" borderId="0" xfId="0" applyNumberFormat="1" applyFont="1" applyFill="1" applyAlignment="1">
      <alignment horizontal="left" vertical="center"/>
    </xf>
    <xf numFmtId="168" fontId="8" fillId="0" borderId="0" xfId="0" quotePrefix="1" applyNumberFormat="1" applyFont="1" applyFill="1" applyAlignment="1">
      <alignment horizontal="center" vertical="center"/>
    </xf>
    <xf numFmtId="168" fontId="8" fillId="0" borderId="0" xfId="0" applyNumberFormat="1" applyFont="1" applyFill="1" applyAlignment="1">
      <alignment horizontal="center" vertical="center"/>
    </xf>
    <xf numFmtId="10" fontId="8" fillId="0" borderId="0" xfId="0" applyNumberFormat="1" applyFont="1" applyFill="1" applyAlignment="1">
      <alignment horizontal="left" vertical="center"/>
    </xf>
    <xf numFmtId="9" fontId="0" fillId="2" borderId="2" xfId="0" applyNumberFormat="1" applyFill="1" applyBorder="1" applyAlignment="1">
      <alignment horizontal="center" vertical="center"/>
    </xf>
    <xf numFmtId="9" fontId="0" fillId="2" borderId="0" xfId="0" applyNumberFormat="1" applyFill="1" applyBorder="1" applyAlignment="1">
      <alignment horizontal="center" vertical="center"/>
    </xf>
    <xf numFmtId="3" fontId="0" fillId="0" borderId="0" xfId="0" quotePrefix="1" applyNumberFormat="1" applyAlignment="1">
      <alignment horizontal="center" vertical="center"/>
    </xf>
    <xf numFmtId="3" fontId="0" fillId="0" borderId="1" xfId="0" quotePrefix="1" applyNumberFormat="1" applyBorder="1" applyAlignment="1">
      <alignment horizontal="center" vertical="center"/>
    </xf>
    <xf numFmtId="181" fontId="0" fillId="0" borderId="0" xfId="0" applyNumberFormat="1" applyAlignment="1">
      <alignment horizontal="left" vertical="center"/>
    </xf>
    <xf numFmtId="181" fontId="0" fillId="0" borderId="0" xfId="0" quotePrefix="1" applyNumberFormat="1" applyAlignment="1">
      <alignment horizontal="left" vertical="center"/>
    </xf>
    <xf numFmtId="0" fontId="0" fillId="0" borderId="0" xfId="0" quotePrefix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20" fillId="47" borderId="14" xfId="0" applyFont="1" applyFill="1" applyBorder="1" applyAlignment="1">
      <alignment horizontal="center" vertical="center" wrapText="1"/>
    </xf>
    <xf numFmtId="0" fontId="20" fillId="47" borderId="0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37" fontId="0" fillId="0" borderId="1" xfId="0" applyNumberFormat="1" applyBorder="1" applyAlignment="1">
      <alignment horizontal="center" vertical="center"/>
    </xf>
    <xf numFmtId="37" fontId="0" fillId="0" borderId="3" xfId="0" applyNumberFormat="1" applyBorder="1" applyAlignment="1">
      <alignment horizontal="center" vertical="center"/>
    </xf>
    <xf numFmtId="0" fontId="20" fillId="47" borderId="0" xfId="0" quotePrefix="1" applyFont="1" applyFill="1" applyAlignment="1">
      <alignment horizontal="center" vertical="center" wrapText="1"/>
    </xf>
    <xf numFmtId="0" fontId="0" fillId="0" borderId="8" xfId="0" applyBorder="1" applyAlignment="1">
      <alignment horizontal="right" vertical="center"/>
    </xf>
    <xf numFmtId="9" fontId="0" fillId="0" borderId="3" xfId="0" applyNumberFormat="1" applyBorder="1" applyAlignment="1">
      <alignment horizontal="center" vertical="center"/>
    </xf>
    <xf numFmtId="0" fontId="0" fillId="0" borderId="0" xfId="0" quotePrefix="1" applyBorder="1" applyAlignment="1">
      <alignment horizontal="left" vertical="center"/>
    </xf>
    <xf numFmtId="0" fontId="20" fillId="0" borderId="0" xfId="0" applyFont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 applyFont="1" applyAlignment="1">
      <alignment horizontal="center" vertical="center"/>
    </xf>
    <xf numFmtId="0" fontId="20" fillId="47" borderId="0" xfId="96" applyFont="1" applyFill="1" applyBorder="1" applyAlignment="1">
      <alignment horizontal="center" vertical="center" wrapText="1"/>
    </xf>
    <xf numFmtId="0" fontId="8" fillId="0" borderId="0" xfId="4" applyFont="1" applyAlignment="1">
      <alignment horizontal="left" vertical="center"/>
    </xf>
    <xf numFmtId="193" fontId="8" fillId="0" borderId="0" xfId="4" applyNumberFormat="1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3" fillId="12" borderId="6" xfId="4" applyFont="1" applyFill="1" applyBorder="1" applyAlignment="1">
      <alignment horizontal="center" vertical="center"/>
    </xf>
    <xf numFmtId="0" fontId="3" fillId="12" borderId="20" xfId="4" applyFont="1" applyFill="1" applyBorder="1" applyAlignment="1">
      <alignment horizontal="center" vertical="center"/>
    </xf>
    <xf numFmtId="0" fontId="42" fillId="42" borderId="14" xfId="4" quotePrefix="1" applyFont="1" applyFill="1" applyBorder="1" applyAlignment="1">
      <alignment horizontal="center" vertical="center"/>
    </xf>
    <xf numFmtId="0" fontId="8" fillId="0" borderId="0" xfId="4" applyFont="1" applyAlignment="1">
      <alignment horizontal="right" vertical="center"/>
    </xf>
    <xf numFmtId="3" fontId="8" fillId="0" borderId="0" xfId="4" applyNumberFormat="1" applyFont="1" applyAlignment="1">
      <alignment horizontal="left" vertical="center"/>
    </xf>
    <xf numFmtId="0" fontId="8" fillId="0" borderId="0" xfId="4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/>
    </xf>
    <xf numFmtId="9" fontId="8" fillId="0" borderId="0" xfId="4" applyNumberFormat="1" applyFont="1" applyAlignment="1">
      <alignment horizontal="left" vertical="center"/>
    </xf>
    <xf numFmtId="0" fontId="8" fillId="0" borderId="3" xfId="4" applyFont="1" applyBorder="1" applyAlignment="1">
      <alignment horizontal="center" vertical="center"/>
    </xf>
    <xf numFmtId="3" fontId="8" fillId="0" borderId="1" xfId="4" applyNumberFormat="1" applyFont="1" applyBorder="1" applyAlignment="1">
      <alignment horizontal="center" vertical="center"/>
    </xf>
    <xf numFmtId="0" fontId="50" fillId="12" borderId="0" xfId="4" applyFont="1" applyFill="1" applyAlignment="1">
      <alignment horizontal="center" vertical="center"/>
    </xf>
    <xf numFmtId="0" fontId="8" fillId="0" borderId="0" xfId="4" applyFont="1" applyBorder="1" applyAlignment="1">
      <alignment horizontal="left" vertical="center"/>
    </xf>
    <xf numFmtId="0" fontId="8" fillId="0" borderId="1" xfId="4" applyFont="1" applyBorder="1" applyAlignment="1">
      <alignment horizontal="left" vertical="center"/>
    </xf>
    <xf numFmtId="0" fontId="3" fillId="4" borderId="5" xfId="4" applyFont="1" applyFill="1" applyBorder="1" applyAlignment="1">
      <alignment horizontal="center" vertical="center" wrapText="1"/>
    </xf>
    <xf numFmtId="0" fontId="3" fillId="4" borderId="0" xfId="4" applyFont="1" applyFill="1" applyAlignment="1">
      <alignment horizontal="center" vertical="center"/>
    </xf>
    <xf numFmtId="0" fontId="3" fillId="4" borderId="5" xfId="4" applyFont="1" applyFill="1" applyBorder="1" applyAlignment="1">
      <alignment horizontal="center" vertical="center"/>
    </xf>
    <xf numFmtId="0" fontId="50" fillId="0" borderId="0" xfId="4" quotePrefix="1" applyFont="1" applyFill="1" applyAlignment="1">
      <alignment horizontal="center" vertical="center"/>
    </xf>
    <xf numFmtId="0" fontId="50" fillId="0" borderId="0" xfId="4" applyFont="1" applyFill="1" applyAlignment="1">
      <alignment horizontal="center" vertical="center"/>
    </xf>
    <xf numFmtId="0" fontId="50" fillId="12" borderId="0" xfId="4" quotePrefix="1" applyFont="1" applyFill="1" applyAlignment="1">
      <alignment horizontal="center" vertical="center" wrapText="1"/>
    </xf>
    <xf numFmtId="3" fontId="0" fillId="0" borderId="1" xfId="0" applyNumberFormat="1" applyBorder="1" applyAlignment="1">
      <alignment horizontal="left" vertical="center"/>
    </xf>
    <xf numFmtId="173" fontId="0" fillId="0" borderId="0" xfId="0" applyNumberFormat="1" applyAlignment="1">
      <alignment horizontal="left" vertical="center"/>
    </xf>
    <xf numFmtId="0" fontId="0" fillId="0" borderId="8" xfId="0" applyBorder="1" applyAlignment="1">
      <alignment horizontal="center" vertical="center"/>
    </xf>
    <xf numFmtId="164" fontId="0" fillId="0" borderId="0" xfId="0" applyNumberFormat="1" applyAlignment="1">
      <alignment horizontal="left" vertical="center"/>
    </xf>
    <xf numFmtId="174" fontId="0" fillId="0" borderId="0" xfId="0" applyNumberFormat="1" applyAlignment="1">
      <alignment horizontal="left" vertical="center"/>
    </xf>
    <xf numFmtId="3" fontId="0" fillId="0" borderId="3" xfId="0" applyNumberFormat="1" applyBorder="1" applyAlignment="1">
      <alignment horizontal="center" vertical="center"/>
    </xf>
    <xf numFmtId="175" fontId="0" fillId="0" borderId="0" xfId="0" quotePrefix="1" applyNumberFormat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75" fontId="0" fillId="0" borderId="0" xfId="0" applyNumberFormat="1" applyAlignment="1">
      <alignment horizontal="left" vertical="center"/>
    </xf>
    <xf numFmtId="3" fontId="0" fillId="0" borderId="8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3" fontId="0" fillId="0" borderId="3" xfId="0" applyNumberFormat="1" applyBorder="1" applyAlignment="1">
      <alignment horizontal="left" vertical="center"/>
    </xf>
    <xf numFmtId="3" fontId="0" fillId="0" borderId="0" xfId="0" applyNumberFormat="1" applyAlignment="1">
      <alignment horizontal="right" vertical="center"/>
    </xf>
    <xf numFmtId="0" fontId="0" fillId="0" borderId="1" xfId="0" applyBorder="1" applyAlignment="1">
      <alignment horizontal="right" vertical="center"/>
    </xf>
    <xf numFmtId="3" fontId="0" fillId="0" borderId="0" xfId="0" applyNumberFormat="1" applyBorder="1" applyAlignment="1">
      <alignment horizontal="right" vertical="center"/>
    </xf>
    <xf numFmtId="178" fontId="0" fillId="0" borderId="0" xfId="0" applyNumberFormat="1" applyAlignment="1">
      <alignment horizontal="right" vertical="center"/>
    </xf>
    <xf numFmtId="0" fontId="0" fillId="0" borderId="1" xfId="0" quotePrefix="1" applyBorder="1" applyAlignment="1">
      <alignment horizontal="center" vertical="center"/>
    </xf>
    <xf numFmtId="0" fontId="8" fillId="0" borderId="0" xfId="4" applyFont="1" applyFill="1" applyBorder="1" applyAlignment="1">
      <alignment horizontal="right" vertical="center"/>
    </xf>
    <xf numFmtId="169" fontId="8" fillId="0" borderId="3" xfId="4" applyNumberFormat="1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0" fontId="3" fillId="4" borderId="0" xfId="4" applyFont="1" applyFill="1" applyBorder="1" applyAlignment="1">
      <alignment horizontal="left" vertical="center" wrapText="1" indent="1"/>
    </xf>
    <xf numFmtId="0" fontId="3" fillId="4" borderId="24" xfId="4" applyFont="1" applyFill="1" applyBorder="1" applyAlignment="1">
      <alignment horizontal="left" vertical="center" wrapText="1" indent="1"/>
    </xf>
    <xf numFmtId="0" fontId="3" fillId="12" borderId="11" xfId="4" applyFont="1" applyFill="1" applyBorder="1" applyAlignment="1">
      <alignment horizontal="center" vertical="center"/>
    </xf>
    <xf numFmtId="0" fontId="3" fillId="4" borderId="10" xfId="4" applyFont="1" applyFill="1" applyBorder="1" applyAlignment="1">
      <alignment horizontal="center" vertical="center"/>
    </xf>
    <xf numFmtId="0" fontId="3" fillId="4" borderId="14" xfId="4" applyFont="1" applyFill="1" applyBorder="1" applyAlignment="1">
      <alignment horizontal="center" vertical="center"/>
    </xf>
    <xf numFmtId="0" fontId="17" fillId="47" borderId="0" xfId="4" quotePrefix="1" applyFont="1" applyFill="1" applyBorder="1" applyAlignment="1">
      <alignment horizontal="center" vertical="center" wrapText="1"/>
    </xf>
  </cellXfs>
  <cellStyles count="116">
    <cellStyle name="20% - Accent3 2" xfId="8"/>
    <cellStyle name="20% - Accent6 2" xfId="9"/>
    <cellStyle name="Accent1 - 20%" xfId="10"/>
    <cellStyle name="Accent1 - 40%" xfId="11"/>
    <cellStyle name="Accent1 - 60%" xfId="12"/>
    <cellStyle name="Accent1 2" xfId="13"/>
    <cellStyle name="Accent2 - 20%" xfId="14"/>
    <cellStyle name="Accent2 - 40%" xfId="15"/>
    <cellStyle name="Accent2 - 60%" xfId="16"/>
    <cellStyle name="Accent2 2" xfId="17"/>
    <cellStyle name="Accent3 - 20%" xfId="18"/>
    <cellStyle name="Accent3 - 40%" xfId="19"/>
    <cellStyle name="Accent3 - 60%" xfId="20"/>
    <cellStyle name="Accent4 - 20%" xfId="21"/>
    <cellStyle name="Accent4 - 40%" xfId="22"/>
    <cellStyle name="Accent4 - 60%" xfId="23"/>
    <cellStyle name="Accent5 - 20%" xfId="24"/>
    <cellStyle name="Accent5 - 40%" xfId="25"/>
    <cellStyle name="Accent5 - 60%" xfId="26"/>
    <cellStyle name="Accent6 - 20%" xfId="27"/>
    <cellStyle name="Accent6 - 40%" xfId="28"/>
    <cellStyle name="Accent6 - 60%" xfId="29"/>
    <cellStyle name="amount" xfId="30"/>
    <cellStyle name="Body text" xfId="31"/>
    <cellStyle name="Comma [0] 2" xfId="1"/>
    <cellStyle name="Comma [0] 2 2" xfId="32"/>
    <cellStyle name="Comma [0] 3" xfId="33"/>
    <cellStyle name="Comma [0] 3 2" xfId="115"/>
    <cellStyle name="Comma [0] 4" xfId="34"/>
    <cellStyle name="Comma [0] 5" xfId="35"/>
    <cellStyle name="Comma 2" xfId="2"/>
    <cellStyle name="Comma 2 2" xfId="36"/>
    <cellStyle name="Comma 3" xfId="37"/>
    <cellStyle name="Comma 4" xfId="38"/>
    <cellStyle name="Comma 5" xfId="39"/>
    <cellStyle name="Comma 6" xfId="40"/>
    <cellStyle name="ContentsHyperlink" xfId="41"/>
    <cellStyle name="Currency 10" xfId="42"/>
    <cellStyle name="Currency 11" xfId="43"/>
    <cellStyle name="Currency 12" xfId="44"/>
    <cellStyle name="Currency 13" xfId="45"/>
    <cellStyle name="Currency 14" xfId="46"/>
    <cellStyle name="Currency 15" xfId="47"/>
    <cellStyle name="Currency 16" xfId="48"/>
    <cellStyle name="Currency 17" xfId="49"/>
    <cellStyle name="Currency 18" xfId="50"/>
    <cellStyle name="Currency 19" xfId="51"/>
    <cellStyle name="Currency 2" xfId="3"/>
    <cellStyle name="Currency 2 2" xfId="52"/>
    <cellStyle name="Currency 2 3" xfId="53"/>
    <cellStyle name="Currency 2 4" xfId="54"/>
    <cellStyle name="Currency 20" xfId="55"/>
    <cellStyle name="Currency 21" xfId="56"/>
    <cellStyle name="Currency 22" xfId="57"/>
    <cellStyle name="Currency 23" xfId="58"/>
    <cellStyle name="Currency 24" xfId="59"/>
    <cellStyle name="Currency 3" xfId="60"/>
    <cellStyle name="Currency 3 2" xfId="61"/>
    <cellStyle name="Currency 3 3" xfId="62"/>
    <cellStyle name="Currency 4" xfId="63"/>
    <cellStyle name="Currency 4 2" xfId="64"/>
    <cellStyle name="Currency 5" xfId="65"/>
    <cellStyle name="Currency 5 2" xfId="66"/>
    <cellStyle name="Currency 6" xfId="67"/>
    <cellStyle name="Currency 6 2" xfId="68"/>
    <cellStyle name="Currency 7" xfId="69"/>
    <cellStyle name="Currency 7 2" xfId="70"/>
    <cellStyle name="Currency 7 3" xfId="71"/>
    <cellStyle name="Currency 8" xfId="72"/>
    <cellStyle name="Currency 8 2" xfId="73"/>
    <cellStyle name="Currency 8 3" xfId="74"/>
    <cellStyle name="Currency 9" xfId="75"/>
    <cellStyle name="Dezimal [0]_Compiling Utility Macros" xfId="76"/>
    <cellStyle name="Dezimal_Compiling Utility Macros" xfId="77"/>
    <cellStyle name="Emphasis 1" xfId="78"/>
    <cellStyle name="Emphasis 2" xfId="79"/>
    <cellStyle name="Emphasis 3" xfId="80"/>
    <cellStyle name="header" xfId="81"/>
    <cellStyle name="Header Total" xfId="82"/>
    <cellStyle name="Header1" xfId="83"/>
    <cellStyle name="Header2" xfId="84"/>
    <cellStyle name="Header3" xfId="85"/>
    <cellStyle name="Header4" xfId="86"/>
    <cellStyle name="Heading 1 2" xfId="87"/>
    <cellStyle name="Hyperlink 2" xfId="88"/>
    <cellStyle name="Input 2" xfId="89"/>
    <cellStyle name="NonPrint_Heading" xfId="90"/>
    <cellStyle name="Normal" xfId="0" builtinId="0"/>
    <cellStyle name="Normal 2" xfId="4"/>
    <cellStyle name="Normal 2 2" xfId="91"/>
    <cellStyle name="Normal 2 2 2" xfId="92"/>
    <cellStyle name="Normal 2 3" xfId="93"/>
    <cellStyle name="Normal 3" xfId="94"/>
    <cellStyle name="Normal 3 2" xfId="95"/>
    <cellStyle name="Normal 3 3" xfId="96"/>
    <cellStyle name="Normal 4" xfId="97"/>
    <cellStyle name="Normal 4 2" xfId="98"/>
    <cellStyle name="Normal 5" xfId="99"/>
    <cellStyle name="Normal 5 2" xfId="100"/>
    <cellStyle name="Normal 6" xfId="5"/>
    <cellStyle name="Normal 6 2" xfId="6"/>
    <cellStyle name="Normal 6 3" xfId="101"/>
    <cellStyle name="Normal 7" xfId="102"/>
    <cellStyle name="Normal 8" xfId="103"/>
    <cellStyle name="Percent 2" xfId="7"/>
    <cellStyle name="Percent 2 2" xfId="114"/>
    <cellStyle name="Percent 3" xfId="104"/>
    <cellStyle name="Percent 4" xfId="105"/>
    <cellStyle name="Percent 5" xfId="106"/>
    <cellStyle name="Product Title" xfId="107"/>
    <cellStyle name="Sheet Title" xfId="108"/>
    <cellStyle name="Standard_Anpassen der Amortisation" xfId="109"/>
    <cellStyle name="Text" xfId="110"/>
    <cellStyle name="update" xfId="111"/>
    <cellStyle name="Währung [0]_Compiling Utility Macros" xfId="112"/>
    <cellStyle name="Währung_Compiling Utility Macros" xfId="113"/>
  </cellStyles>
  <dxfs count="4"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00B050"/>
        </patternFill>
      </fill>
    </dxf>
    <dxf>
      <border>
        <top style="thin">
          <color auto="1"/>
        </top>
        <vertical/>
        <horizontal/>
      </border>
    </dxf>
  </dxfs>
  <tableStyles count="0" defaultTableStyle="TableStyleMedium9" defaultPivotStyle="PivotStyleLight16"/>
  <colors>
    <mruColors>
      <color rgb="FF0000FF"/>
      <color rgb="FF070C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/Relationships>
</file>

<file path=xl/ctrlProps/ctrlProp1.xml><?xml version="1.0" encoding="utf-8"?>
<formControlPr xmlns="http://schemas.microsoft.com/office/spreadsheetml/2009/9/main" objectType="Scroll" dx="16" fmlaLink="$A$3" horiz="1" inc="25" max="750" min="250" page="10" val="750"/>
</file>

<file path=xl/ctrlProps/ctrlProp10.xml><?xml version="1.0" encoding="utf-8"?>
<formControlPr xmlns="http://schemas.microsoft.com/office/spreadsheetml/2009/9/main" objectType="Scroll" dx="16" fmlaLink="$A$3" horiz="1" inc="25" max="2500" min="750" page="10" val="1500"/>
</file>

<file path=xl/ctrlProps/ctrlProp100.xml><?xml version="1.0" encoding="utf-8"?>
<formControlPr xmlns="http://schemas.microsoft.com/office/spreadsheetml/2009/9/main" objectType="Scroll" dx="16" fmlaLink="$A$10" horiz="1" inc="25" max="800" min="250" page="10" val="375"/>
</file>

<file path=xl/ctrlProps/ctrlProp101.xml><?xml version="1.0" encoding="utf-8"?>
<formControlPr xmlns="http://schemas.microsoft.com/office/spreadsheetml/2009/9/main" objectType="Scroll" dx="16" fmlaLink="$A$11" horiz="1" max="20" min="10" page="10" val="12"/>
</file>

<file path=xl/ctrlProps/ctrlProp102.xml><?xml version="1.0" encoding="utf-8"?>
<formControlPr xmlns="http://schemas.microsoft.com/office/spreadsheetml/2009/9/main" objectType="Scroll" dx="16" fmlaLink="$A$4" horiz="1" inc="25" max="1250" min="500" page="10" val="900"/>
</file>

<file path=xl/ctrlProps/ctrlProp103.xml><?xml version="1.0" encoding="utf-8"?>
<formControlPr xmlns="http://schemas.microsoft.com/office/spreadsheetml/2009/9/main" objectType="Scroll" dx="16" fmlaLink="$D$5" horiz="1" max="6" min="3" page="10" val="5"/>
</file>

<file path=xl/ctrlProps/ctrlProp104.xml><?xml version="1.0" encoding="utf-8"?>
<formControlPr xmlns="http://schemas.microsoft.com/office/spreadsheetml/2009/9/main" objectType="Scroll" dx="16" fmlaLink="$A$4" horiz="1" inc="5" max="1000" min="250" page="10" val="500"/>
</file>

<file path=xl/ctrlProps/ctrlProp105.xml><?xml version="1.0" encoding="utf-8"?>
<formControlPr xmlns="http://schemas.microsoft.com/office/spreadsheetml/2009/9/main" objectType="Scroll" dx="16" fmlaLink="$A$5" horiz="1" inc="25" max="1500" min="250" page="10" val="650"/>
</file>

<file path=xl/ctrlProps/ctrlProp106.xml><?xml version="1.0" encoding="utf-8"?>
<formControlPr xmlns="http://schemas.microsoft.com/office/spreadsheetml/2009/9/main" objectType="Scroll" dx="16" fmlaLink="$D$6" horiz="1" max="3" min="2" page="10" val="3"/>
</file>

<file path=xl/ctrlProps/ctrlProp107.xml><?xml version="1.0" encoding="utf-8"?>
<formControlPr xmlns="http://schemas.microsoft.com/office/spreadsheetml/2009/9/main" objectType="Scroll" dx="16" fmlaLink="$A$8" horiz="1" inc="5" max="1000" min="250" page="10" val="600"/>
</file>

<file path=xl/ctrlProps/ctrlProp108.xml><?xml version="1.0" encoding="utf-8"?>
<formControlPr xmlns="http://schemas.microsoft.com/office/spreadsheetml/2009/9/main" objectType="Scroll" dx="16" fmlaLink="$A$9" horiz="1" inc="25" max="1500" min="250" page="10" val="750"/>
</file>

<file path=xl/ctrlProps/ctrlProp109.xml><?xml version="1.0" encoding="utf-8"?>
<formControlPr xmlns="http://schemas.microsoft.com/office/spreadsheetml/2009/9/main" objectType="Scroll" dx="16" fmlaLink="$D$10" horiz="1" max="4" min="3" page="10" val="4"/>
</file>

<file path=xl/ctrlProps/ctrlProp11.xml><?xml version="1.0" encoding="utf-8"?>
<formControlPr xmlns="http://schemas.microsoft.com/office/spreadsheetml/2009/9/main" objectType="Scroll" dx="16" fmlaLink="$A$5" horiz="1" inc="5" max="750" min="250" page="10" val="525"/>
</file>

<file path=xl/ctrlProps/ctrlProp110.xml><?xml version="1.0" encoding="utf-8"?>
<formControlPr xmlns="http://schemas.microsoft.com/office/spreadsheetml/2009/9/main" objectType="Scroll" dx="16" fmlaLink="$A$11" horiz="1" max="15" min="9" page="10" val="10"/>
</file>

<file path=xl/ctrlProps/ctrlProp111.xml><?xml version="1.0" encoding="utf-8"?>
<formControlPr xmlns="http://schemas.microsoft.com/office/spreadsheetml/2009/9/main" objectType="Scroll" dx="16" fmlaLink="$E$3" horiz="1" inc="5" max="75" min="10" page="10" val="50"/>
</file>

<file path=xl/ctrlProps/ctrlProp112.xml><?xml version="1.0" encoding="utf-8"?>
<formControlPr xmlns="http://schemas.microsoft.com/office/spreadsheetml/2009/9/main" objectType="Scroll" dx="16" fmlaLink="$E$4" horiz="1" inc="5" max="500" min="50" page="10" val="175"/>
</file>

<file path=xl/ctrlProps/ctrlProp113.xml><?xml version="1.0" encoding="utf-8"?>
<formControlPr xmlns="http://schemas.microsoft.com/office/spreadsheetml/2009/9/main" objectType="Scroll" dx="16" fmlaLink="$D$5" horiz="1" max="6" min="3" page="10" val="3"/>
</file>

<file path=xl/ctrlProps/ctrlProp114.xml><?xml version="1.0" encoding="utf-8"?>
<formControlPr xmlns="http://schemas.microsoft.com/office/spreadsheetml/2009/9/main" objectType="Scroll" dx="16" fmlaLink="$D$15" horiz="1" max="7" min="3" page="10" val="5"/>
</file>

<file path=xl/ctrlProps/ctrlProp115.xml><?xml version="1.0" encoding="utf-8"?>
<formControlPr xmlns="http://schemas.microsoft.com/office/spreadsheetml/2009/9/main" objectType="Scroll" dx="16" fmlaLink="$K$4" horiz="1" max="8" min="3" page="10" val="4"/>
</file>

<file path=xl/ctrlProps/ctrlProp116.xml><?xml version="1.0" encoding="utf-8"?>
<formControlPr xmlns="http://schemas.microsoft.com/office/spreadsheetml/2009/9/main" objectType="Scroll" dx="16" fmlaLink="$A$4" horiz="1" inc="25" max="2500" min="1000" page="10" val="1250"/>
</file>

<file path=xl/ctrlProps/ctrlProp117.xml><?xml version="1.0" encoding="utf-8"?>
<formControlPr xmlns="http://schemas.microsoft.com/office/spreadsheetml/2009/9/main" objectType="Scroll" dx="16" fmlaLink="$A$5" horiz="1" inc="5" max="500" min="150" page="10" val="225"/>
</file>

<file path=xl/ctrlProps/ctrlProp118.xml><?xml version="1.0" encoding="utf-8"?>
<formControlPr xmlns="http://schemas.microsoft.com/office/spreadsheetml/2009/9/main" objectType="Scroll" dx="16" fmlaLink="$A$6" horiz="1" inc="5" max="500" min="150" page="10" val="250"/>
</file>

<file path=xl/ctrlProps/ctrlProp119.xml><?xml version="1.0" encoding="utf-8"?>
<formControlPr xmlns="http://schemas.microsoft.com/office/spreadsheetml/2009/9/main" objectType="Scroll" dx="16" fmlaLink="$A$7" horiz="1" inc="5" max="500" min="150" page="10" val="275"/>
</file>

<file path=xl/ctrlProps/ctrlProp12.xml><?xml version="1.0" encoding="utf-8"?>
<formControlPr xmlns="http://schemas.microsoft.com/office/spreadsheetml/2009/9/main" objectType="Scroll" dx="16" fmlaLink="$A$6" horiz="1" inc="5" max="750" min="250" page="10" val="600"/>
</file>

<file path=xl/ctrlProps/ctrlProp120.xml><?xml version="1.0" encoding="utf-8"?>
<formControlPr xmlns="http://schemas.microsoft.com/office/spreadsheetml/2009/9/main" objectType="Scroll" dx="16" fmlaLink="$A$8" horiz="1" inc="5" max="500" min="150" page="10" val="300"/>
</file>

<file path=xl/ctrlProps/ctrlProp121.xml><?xml version="1.0" encoding="utf-8"?>
<formControlPr xmlns="http://schemas.microsoft.com/office/spreadsheetml/2009/9/main" objectType="Scroll" dx="16" fmlaLink="$A$9" horiz="1" inc="5" max="500" min="150" page="10" val="350"/>
</file>

<file path=xl/ctrlProps/ctrlProp122.xml><?xml version="1.0" encoding="utf-8"?>
<formControlPr xmlns="http://schemas.microsoft.com/office/spreadsheetml/2009/9/main" objectType="Scroll" dx="16" fmlaLink="$A$10" horiz="1" inc="5" max="500" min="150" page="10" val="350"/>
</file>

<file path=xl/ctrlProps/ctrlProp123.xml><?xml version="1.0" encoding="utf-8"?>
<formControlPr xmlns="http://schemas.microsoft.com/office/spreadsheetml/2009/9/main" objectType="Scroll" dx="16" fmlaLink="$A$11" horiz="1" inc="5" max="500" min="150" page="10" val="300"/>
</file>

<file path=xl/ctrlProps/ctrlProp124.xml><?xml version="1.0" encoding="utf-8"?>
<formControlPr xmlns="http://schemas.microsoft.com/office/spreadsheetml/2009/9/main" objectType="Scroll" dx="16" fmlaLink="$A$12" horiz="1" inc="5" max="500" min="150" page="10" val="250"/>
</file>

<file path=xl/ctrlProps/ctrlProp125.xml><?xml version="1.0" encoding="utf-8"?>
<formControlPr xmlns="http://schemas.microsoft.com/office/spreadsheetml/2009/9/main" objectType="Scroll" dx="16" fmlaLink="$A$13" horiz="1" inc="5" max="500" min="150" page="10" val="250"/>
</file>

<file path=xl/ctrlProps/ctrlProp126.xml><?xml version="1.0" encoding="utf-8"?>
<formControlPr xmlns="http://schemas.microsoft.com/office/spreadsheetml/2009/9/main" objectType="Scroll" dx="16" fmlaLink="$A$14" horiz="1" inc="5" max="500" min="150" page="10" val="200"/>
</file>

<file path=xl/ctrlProps/ctrlProp127.xml><?xml version="1.0" encoding="utf-8"?>
<formControlPr xmlns="http://schemas.microsoft.com/office/spreadsheetml/2009/9/main" objectType="Scroll" dx="16" fmlaLink="$D$5" horiz="1" max="15" min="8" page="10" val="10"/>
</file>

<file path=xl/ctrlProps/ctrlProp128.xml><?xml version="1.0" encoding="utf-8"?>
<formControlPr xmlns="http://schemas.microsoft.com/office/spreadsheetml/2009/9/main" objectType="Scroll" dx="16" fmlaLink="$A$6" horiz="1" max="20" min="10" page="10" val="12"/>
</file>

<file path=xl/ctrlProps/ctrlProp129.xml><?xml version="1.0" encoding="utf-8"?>
<formControlPr xmlns="http://schemas.microsoft.com/office/spreadsheetml/2009/9/main" objectType="Scroll" dx="16" fmlaLink="$A$4" horiz="1" inc="25" max="7500" min="2000" page="10" val="7500"/>
</file>

<file path=xl/ctrlProps/ctrlProp13.xml><?xml version="1.0" encoding="utf-8"?>
<formControlPr xmlns="http://schemas.microsoft.com/office/spreadsheetml/2009/9/main" objectType="Scroll" dx="16" fmlaLink="$A$7" horiz="1" inc="5" max="750" min="250" page="10" val="600"/>
</file>

<file path=xl/ctrlProps/ctrlProp130.xml><?xml version="1.0" encoding="utf-8"?>
<formControlPr xmlns="http://schemas.microsoft.com/office/spreadsheetml/2009/9/main" objectType="Scroll" dx="16" fmlaLink="$A$3" horiz="1" inc="25" max="500" min="200" page="10" val="300"/>
</file>

<file path=xl/ctrlProps/ctrlProp131.xml><?xml version="1.0" encoding="utf-8"?>
<formControlPr xmlns="http://schemas.microsoft.com/office/spreadsheetml/2009/9/main" objectType="Scroll" dx="16" fmlaLink="$D$5" horiz="1" max="15" min="8" page="10" val="15"/>
</file>

<file path=xl/ctrlProps/ctrlProp132.xml><?xml version="1.0" encoding="utf-8"?>
<formControlPr xmlns="http://schemas.microsoft.com/office/spreadsheetml/2009/9/main" objectType="Scroll" dx="16" fmlaLink="$A$6" horiz="1" max="20" min="10" page="10" val="12"/>
</file>

<file path=xl/ctrlProps/ctrlProp133.xml><?xml version="1.0" encoding="utf-8"?>
<formControlPr xmlns="http://schemas.microsoft.com/office/spreadsheetml/2009/9/main" objectType="Scroll" dx="16" fmlaLink="$A$4" horiz="1" inc="25" max="1000" min="200" page="10" val="1000"/>
</file>

<file path=xl/ctrlProps/ctrlProp134.xml><?xml version="1.0" encoding="utf-8"?>
<formControlPr xmlns="http://schemas.microsoft.com/office/spreadsheetml/2009/9/main" objectType="Scroll" dx="16" fmlaLink="$A$3" horiz="1" inc="25" max="500" min="200" page="10" val="500"/>
</file>

<file path=xl/ctrlProps/ctrlProp135.xml><?xml version="1.0" encoding="utf-8"?>
<formControlPr xmlns="http://schemas.microsoft.com/office/spreadsheetml/2009/9/main" objectType="Scroll" dx="16" fmlaLink="$D$7" horiz="1" max="12" min="4" page="10" val="10"/>
</file>

<file path=xl/ctrlProps/ctrlProp136.xml><?xml version="1.0" encoding="utf-8"?>
<formControlPr xmlns="http://schemas.microsoft.com/office/spreadsheetml/2009/9/main" objectType="Scroll" dx="16" fmlaLink="$A$3" horiz="1" inc="25" max="1250" min="250" page="10" val="1000"/>
</file>

<file path=xl/ctrlProps/ctrlProp137.xml><?xml version="1.0" encoding="utf-8"?>
<formControlPr xmlns="http://schemas.microsoft.com/office/spreadsheetml/2009/9/main" objectType="Scroll" dx="16" fmlaLink="$A$4" horiz="1" inc="25" max="2000" min="250" page="10" val="1500"/>
</file>

<file path=xl/ctrlProps/ctrlProp138.xml><?xml version="1.0" encoding="utf-8"?>
<formControlPr xmlns="http://schemas.microsoft.com/office/spreadsheetml/2009/9/main" objectType="Scroll" dx="16" fmlaLink="$A$5" horiz="1" inc="25" max="2000" min="1000" page="10" val="1250"/>
</file>

<file path=xl/ctrlProps/ctrlProp139.xml><?xml version="1.0" encoding="utf-8"?>
<formControlPr xmlns="http://schemas.microsoft.com/office/spreadsheetml/2009/9/main" objectType="Scroll" dx="16" fmlaLink="$A$4" horiz="1" inc="5" max="600" min="100" page="10" val="350"/>
</file>

<file path=xl/ctrlProps/ctrlProp14.xml><?xml version="1.0" encoding="utf-8"?>
<formControlPr xmlns="http://schemas.microsoft.com/office/spreadsheetml/2009/9/main" objectType="Scroll" dx="16" fmlaLink="$A$8" horiz="1" inc="5" max="750" min="250" page="10" val="600"/>
</file>

<file path=xl/ctrlProps/ctrlProp140.xml><?xml version="1.0" encoding="utf-8"?>
<formControlPr xmlns="http://schemas.microsoft.com/office/spreadsheetml/2009/9/main" objectType="Scroll" dx="16" fmlaLink="$A$3" horiz="1" inc="25" max="1500" min="400" page="10" val="1250"/>
</file>

<file path=xl/ctrlProps/ctrlProp141.xml><?xml version="1.0" encoding="utf-8"?>
<formControlPr xmlns="http://schemas.microsoft.com/office/spreadsheetml/2009/9/main" objectType="Scroll" dx="16" fmlaLink="$A$5" horiz="1" inc="5" max="600" min="100" page="10" val="400"/>
</file>

<file path=xl/ctrlProps/ctrlProp142.xml><?xml version="1.0" encoding="utf-8"?>
<formControlPr xmlns="http://schemas.microsoft.com/office/spreadsheetml/2009/9/main" objectType="Scroll" dx="16" fmlaLink="$A$6" horiz="1" inc="5" max="600" min="100" page="10" val="500"/>
</file>

<file path=xl/ctrlProps/ctrlProp143.xml><?xml version="1.0" encoding="utf-8"?>
<formControlPr xmlns="http://schemas.microsoft.com/office/spreadsheetml/2009/9/main" objectType="Scroll" dx="16" fmlaLink="$A$7" horiz="1" inc="5" max="600" min="100" page="10" val="550"/>
</file>

<file path=xl/ctrlProps/ctrlProp144.xml><?xml version="1.0" encoding="utf-8"?>
<formControlPr xmlns="http://schemas.microsoft.com/office/spreadsheetml/2009/9/main" objectType="Scroll" dx="16" fmlaLink="$A$8" horiz="1" inc="5" max="600" min="100" page="10" val="500"/>
</file>

<file path=xl/ctrlProps/ctrlProp145.xml><?xml version="1.0" encoding="utf-8"?>
<formControlPr xmlns="http://schemas.microsoft.com/office/spreadsheetml/2009/9/main" objectType="Scroll" dx="16" fmlaLink="$A$9" horiz="1" max="15" min="9" page="10" val="12"/>
</file>

<file path=xl/ctrlProps/ctrlProp146.xml><?xml version="1.0" encoding="utf-8"?>
<formControlPr xmlns="http://schemas.microsoft.com/office/spreadsheetml/2009/9/main" objectType="Scroll" dx="16" fmlaLink="$A$3" horiz="1" inc="5" max="250" min="50" page="10" val="135"/>
</file>

<file path=xl/ctrlProps/ctrlProp147.xml><?xml version="1.0" encoding="utf-8"?>
<formControlPr xmlns="http://schemas.microsoft.com/office/spreadsheetml/2009/9/main" objectType="Scroll" dx="16" fmlaLink="$A$4" horiz="1" inc="5" max="350" min="50" page="10" val="310"/>
</file>

<file path=xl/ctrlProps/ctrlProp148.xml><?xml version="1.0" encoding="utf-8"?>
<formControlPr xmlns="http://schemas.microsoft.com/office/spreadsheetml/2009/9/main" objectType="Scroll" dx="16" fmlaLink="$A$5" horiz="1" inc="5" max="250" min="50" page="10" val="180"/>
</file>

<file path=xl/ctrlProps/ctrlProp149.xml><?xml version="1.0" encoding="utf-8"?>
<formControlPr xmlns="http://schemas.microsoft.com/office/spreadsheetml/2009/9/main" objectType="Scroll" dx="16" fmlaLink="$A$6" horiz="1" max="18" min="12" page="10" val="15"/>
</file>

<file path=xl/ctrlProps/ctrlProp15.xml><?xml version="1.0" encoding="utf-8"?>
<formControlPr xmlns="http://schemas.microsoft.com/office/spreadsheetml/2009/9/main" objectType="Scroll" dx="16" fmlaLink="$A$5" horiz="1" inc="25" max="1500" min="400" page="10" val="700"/>
</file>

<file path=xl/ctrlProps/ctrlProp150.xml><?xml version="1.0" encoding="utf-8"?>
<formControlPr xmlns="http://schemas.microsoft.com/office/spreadsheetml/2009/9/main" objectType="Scroll" dx="16" fmlaLink="$A$3" horiz="1" inc="25" max="1500" min="250" page="10" val="1000"/>
</file>

<file path=xl/ctrlProps/ctrlProp151.xml><?xml version="1.0" encoding="utf-8"?>
<formControlPr xmlns="http://schemas.microsoft.com/office/spreadsheetml/2009/9/main" objectType="Scroll" dx="16" fmlaLink="$A$4" horiz="1" inc="5" max="500" min="75" page="10" val="300"/>
</file>

<file path=xl/ctrlProps/ctrlProp152.xml><?xml version="1.0" encoding="utf-8"?>
<formControlPr xmlns="http://schemas.microsoft.com/office/spreadsheetml/2009/9/main" objectType="Scroll" dx="16" fmlaLink="$A$5" horiz="1" inc="5" max="500" min="75" page="10" val="350"/>
</file>

<file path=xl/ctrlProps/ctrlProp153.xml><?xml version="1.0" encoding="utf-8"?>
<formControlPr xmlns="http://schemas.microsoft.com/office/spreadsheetml/2009/9/main" objectType="Scroll" dx="16" fmlaLink="$A$6" horiz="1" inc="5" max="500" min="75" page="10" val="450"/>
</file>

<file path=xl/ctrlProps/ctrlProp154.xml><?xml version="1.0" encoding="utf-8"?>
<formControlPr xmlns="http://schemas.microsoft.com/office/spreadsheetml/2009/9/main" objectType="Scroll" dx="16" fmlaLink="$A$7" horiz="1" inc="5" max="500" min="75" page="10" val="500"/>
</file>

<file path=xl/ctrlProps/ctrlProp155.xml><?xml version="1.0" encoding="utf-8"?>
<formControlPr xmlns="http://schemas.microsoft.com/office/spreadsheetml/2009/9/main" objectType="Scroll" dx="16" fmlaLink="$A$8" horiz="1" max="18" min="10" page="10" val="13"/>
</file>

<file path=xl/ctrlProps/ctrlProp156.xml><?xml version="1.0" encoding="utf-8"?>
<formControlPr xmlns="http://schemas.microsoft.com/office/spreadsheetml/2009/9/main" objectType="Scroll" dx="15" fmlaLink="$A$4" horiz="1" inc="25" max="1000" min="250" page="10" val="400"/>
</file>

<file path=xl/ctrlProps/ctrlProp157.xml><?xml version="1.0" encoding="utf-8"?>
<formControlPr xmlns="http://schemas.microsoft.com/office/spreadsheetml/2009/9/main" objectType="Scroll" dx="15" fmlaLink="$A$5" horiz="1" inc="25" max="250" min="25" page="10" val="100"/>
</file>

<file path=xl/ctrlProps/ctrlProp158.xml><?xml version="1.0" encoding="utf-8"?>
<formControlPr xmlns="http://schemas.microsoft.com/office/spreadsheetml/2009/9/main" objectType="Scroll" dx="15" fmlaLink="$A$6" horiz="1" inc="5" max="250" page="10" val="50"/>
</file>

<file path=xl/ctrlProps/ctrlProp159.xml><?xml version="1.0" encoding="utf-8"?>
<formControlPr xmlns="http://schemas.microsoft.com/office/spreadsheetml/2009/9/main" objectType="Scroll" dx="15" fmlaLink="$A$8" horiz="1" inc="5" max="30" min="15" page="10" val="20"/>
</file>

<file path=xl/ctrlProps/ctrlProp16.xml><?xml version="1.0" encoding="utf-8"?>
<formControlPr xmlns="http://schemas.microsoft.com/office/spreadsheetml/2009/9/main" objectType="Scroll" dx="16" fmlaLink="$A$3" horiz="1" inc="50" max="5000" min="1000" page="10" val="2500"/>
</file>

<file path=xl/ctrlProps/ctrlProp160.xml><?xml version="1.0" encoding="utf-8"?>
<formControlPr xmlns="http://schemas.microsoft.com/office/spreadsheetml/2009/9/main" objectType="Scroll" dx="15" fmlaLink="$G$5" horiz="1" inc="5" max="350" min="100" page="10" val="175"/>
</file>

<file path=xl/ctrlProps/ctrlProp161.xml><?xml version="1.0" encoding="utf-8"?>
<formControlPr xmlns="http://schemas.microsoft.com/office/spreadsheetml/2009/9/main" objectType="Scroll" dx="15" fmlaLink="$G$6" horiz="1" inc="5" max="350" min="100" page="10" val="200"/>
</file>

<file path=xl/ctrlProps/ctrlProp162.xml><?xml version="1.0" encoding="utf-8"?>
<formControlPr xmlns="http://schemas.microsoft.com/office/spreadsheetml/2009/9/main" objectType="Scroll" dx="15" fmlaLink="$G$7" horiz="1" inc="5" max="350" min="100" page="10" val="225"/>
</file>

<file path=xl/ctrlProps/ctrlProp163.xml><?xml version="1.0" encoding="utf-8"?>
<formControlPr xmlns="http://schemas.microsoft.com/office/spreadsheetml/2009/9/main" objectType="Scroll" dx="15" fmlaLink="$G$8" horiz="1" inc="5" max="350" min="100" page="10" val="250"/>
</file>

<file path=xl/ctrlProps/ctrlProp164.xml><?xml version="1.0" encoding="utf-8"?>
<formControlPr xmlns="http://schemas.microsoft.com/office/spreadsheetml/2009/9/main" objectType="Scroll" dx="15" fmlaLink="$G$9" horiz="1" inc="5" max="350" min="100" page="10" val="225"/>
</file>

<file path=xl/ctrlProps/ctrlProp165.xml><?xml version="1.0" encoding="utf-8"?>
<formControlPr xmlns="http://schemas.microsoft.com/office/spreadsheetml/2009/9/main" objectType="Radio" checked="Checked" firstButton="1" fmlaLink="$G$12" lockText="1"/>
</file>

<file path=xl/ctrlProps/ctrlProp166.xml><?xml version="1.0" encoding="utf-8"?>
<formControlPr xmlns="http://schemas.microsoft.com/office/spreadsheetml/2009/9/main" objectType="Radio" lockText="1"/>
</file>

<file path=xl/ctrlProps/ctrlProp167.xml><?xml version="1.0" encoding="utf-8"?>
<formControlPr xmlns="http://schemas.microsoft.com/office/spreadsheetml/2009/9/main" objectType="Scroll" dx="15" fmlaLink="$A$9" horiz="1" inc="5" max="45" min="25" page="10" val="40"/>
</file>

<file path=xl/ctrlProps/ctrlProp17.xml><?xml version="1.0" encoding="utf-8"?>
<formControlPr xmlns="http://schemas.microsoft.com/office/spreadsheetml/2009/9/main" objectType="Scroll" dx="16" fmlaLink="$A$6" horiz="1" inc="25" max="1500" min="400" page="10" val="750"/>
</file>

<file path=xl/ctrlProps/ctrlProp18.xml><?xml version="1.0" encoding="utf-8"?>
<formControlPr xmlns="http://schemas.microsoft.com/office/spreadsheetml/2009/9/main" objectType="Scroll" dx="16" fmlaLink="$A$7" horiz="1" inc="25" max="1500" min="400" page="10" val="950"/>
</file>

<file path=xl/ctrlProps/ctrlProp19.xml><?xml version="1.0" encoding="utf-8"?>
<formControlPr xmlns="http://schemas.microsoft.com/office/spreadsheetml/2009/9/main" objectType="Scroll" dx="16" fmlaLink="$A$8" horiz="1" inc="25" max="1500" min="400" page="10" val="950"/>
</file>

<file path=xl/ctrlProps/ctrlProp2.xml><?xml version="1.0" encoding="utf-8"?>
<formControlPr xmlns="http://schemas.microsoft.com/office/spreadsheetml/2009/9/main" objectType="Scroll" dx="16" fmlaLink="$A$4" horiz="1" inc="5" max="125" min="40" page="10" val="115"/>
</file>

<file path=xl/ctrlProps/ctrlProp20.xml><?xml version="1.0" encoding="utf-8"?>
<formControlPr xmlns="http://schemas.microsoft.com/office/spreadsheetml/2009/9/main" objectType="Scroll" dx="16" fmlaLink="$A$9" horiz="1" inc="25" max="1500" min="400" page="10" val="950"/>
</file>

<file path=xl/ctrlProps/ctrlProp21.xml><?xml version="1.0" encoding="utf-8"?>
<formControlPr xmlns="http://schemas.microsoft.com/office/spreadsheetml/2009/9/main" objectType="Scroll" dx="16" fmlaLink="$A$10" horiz="1" max="20" min="9" page="10" val="15"/>
</file>

<file path=xl/ctrlProps/ctrlProp22.xml><?xml version="1.0" encoding="utf-8"?>
<formControlPr xmlns="http://schemas.microsoft.com/office/spreadsheetml/2009/9/main" objectType="Scroll" dx="16" fmlaLink="$A$11" horiz="1" inc="25" max="750" min="75" page="10" val="300"/>
</file>

<file path=xl/ctrlProps/ctrlProp23.xml><?xml version="1.0" encoding="utf-8"?>
<formControlPr xmlns="http://schemas.microsoft.com/office/spreadsheetml/2009/9/main" objectType="Scroll" dx="16" fmlaLink="$A$5" horiz="1" inc="5" max="600" min="100" page="10" val="150"/>
</file>

<file path=xl/ctrlProps/ctrlProp24.xml><?xml version="1.0" encoding="utf-8"?>
<formControlPr xmlns="http://schemas.microsoft.com/office/spreadsheetml/2009/9/main" objectType="Scroll" dx="16" fmlaLink="$A$3" horiz="1" inc="25" max="1500" min="400" page="10" val="750"/>
</file>

<file path=xl/ctrlProps/ctrlProp25.xml><?xml version="1.0" encoding="utf-8"?>
<formControlPr xmlns="http://schemas.microsoft.com/office/spreadsheetml/2009/9/main" objectType="Scroll" dx="16" fmlaLink="$A$6" horiz="1" inc="5" max="600" min="100" page="10" val="200"/>
</file>

<file path=xl/ctrlProps/ctrlProp26.xml><?xml version="1.0" encoding="utf-8"?>
<formControlPr xmlns="http://schemas.microsoft.com/office/spreadsheetml/2009/9/main" objectType="Scroll" dx="16" fmlaLink="$A$7" horiz="1" inc="5" max="600" min="100" page="10" val="250"/>
</file>

<file path=xl/ctrlProps/ctrlProp27.xml><?xml version="1.0" encoding="utf-8"?>
<formControlPr xmlns="http://schemas.microsoft.com/office/spreadsheetml/2009/9/main" objectType="Scroll" dx="16" fmlaLink="$A$8" horiz="1" inc="5" max="600" min="100" page="10" val="250"/>
</file>

<file path=xl/ctrlProps/ctrlProp28.xml><?xml version="1.0" encoding="utf-8"?>
<formControlPr xmlns="http://schemas.microsoft.com/office/spreadsheetml/2009/9/main" objectType="Scroll" dx="16" fmlaLink="$A$9" horiz="1" inc="5" max="600" min="100" page="10" val="200"/>
</file>

<file path=xl/ctrlProps/ctrlProp29.xml><?xml version="1.0" encoding="utf-8"?>
<formControlPr xmlns="http://schemas.microsoft.com/office/spreadsheetml/2009/9/main" objectType="Scroll" dx="16" fmlaLink="$A$11" horiz="1" max="15" min="9" page="10" val="12"/>
</file>

<file path=xl/ctrlProps/ctrlProp3.xml><?xml version="1.0" encoding="utf-8"?>
<formControlPr xmlns="http://schemas.microsoft.com/office/spreadsheetml/2009/9/main" objectType="Scroll" dx="16" fmlaLink="$A$5" horiz="1" max="20" min="12" page="10" val="15"/>
</file>

<file path=xl/ctrlProps/ctrlProp30.xml><?xml version="1.0" encoding="utf-8"?>
<formControlPr xmlns="http://schemas.microsoft.com/office/spreadsheetml/2009/9/main" objectType="Scroll" dx="16" fmlaLink="$A$10" horiz="1" inc="5" max="250" min="75" page="10" val="150"/>
</file>

<file path=xl/ctrlProps/ctrlProp31.xml><?xml version="1.0" encoding="utf-8"?>
<formControlPr xmlns="http://schemas.microsoft.com/office/spreadsheetml/2009/9/main" objectType="Scroll" dx="16" fmlaLink="$A$5" horiz="1" inc="25" max="1500" min="800" page="10" val="1000"/>
</file>

<file path=xl/ctrlProps/ctrlProp32.xml><?xml version="1.0" encoding="utf-8"?>
<formControlPr xmlns="http://schemas.microsoft.com/office/spreadsheetml/2009/9/main" objectType="Scroll" dx="16" fmlaLink="$A$4" horiz="1" inc="25" max="2500" min="250" page="10" val="1500"/>
</file>

<file path=xl/ctrlProps/ctrlProp33.xml><?xml version="1.0" encoding="utf-8"?>
<formControlPr xmlns="http://schemas.microsoft.com/office/spreadsheetml/2009/9/main" objectType="Scroll" dx="16" fmlaLink="$A$3" horiz="1" inc="25" max="1000" min="250" page="10" val="750"/>
</file>

<file path=xl/ctrlProps/ctrlProp34.xml><?xml version="1.0" encoding="utf-8"?>
<formControlPr xmlns="http://schemas.microsoft.com/office/spreadsheetml/2009/9/main" objectType="Scroll" dx="16" fmlaLink="$D$6" horiz="1" max="10" min="7" page="10" val="10"/>
</file>

<file path=xl/ctrlProps/ctrlProp35.xml><?xml version="1.0" encoding="utf-8"?>
<formControlPr xmlns="http://schemas.microsoft.com/office/spreadsheetml/2009/9/main" objectType="Scroll" dx="16" fmlaLink="$A$7" horiz="1" inc="25" max="2000" min="1250" page="10" val="1750"/>
</file>

<file path=xl/ctrlProps/ctrlProp36.xml><?xml version="1.0" encoding="utf-8"?>
<formControlPr xmlns="http://schemas.microsoft.com/office/spreadsheetml/2009/9/main" objectType="Scroll" dx="16" fmlaLink="$A$5" horiz="1" inc="5" max="600" min="100" page="10" val="200"/>
</file>

<file path=xl/ctrlProps/ctrlProp37.xml><?xml version="1.0" encoding="utf-8"?>
<formControlPr xmlns="http://schemas.microsoft.com/office/spreadsheetml/2009/9/main" objectType="Scroll" dx="16" fmlaLink="$A$4" horiz="1" inc="25" max="1500" min="400" page="10" val="500"/>
</file>

<file path=xl/ctrlProps/ctrlProp38.xml><?xml version="1.0" encoding="utf-8"?>
<formControlPr xmlns="http://schemas.microsoft.com/office/spreadsheetml/2009/9/main" objectType="Scroll" dx="16" fmlaLink="$A$6" horiz="1" inc="5" max="600" min="100" page="10" val="250"/>
</file>

<file path=xl/ctrlProps/ctrlProp39.xml><?xml version="1.0" encoding="utf-8"?>
<formControlPr xmlns="http://schemas.microsoft.com/office/spreadsheetml/2009/9/main" objectType="Scroll" dx="16" fmlaLink="$A$7" horiz="1" inc="5" max="600" min="100" page="10" val="300"/>
</file>

<file path=xl/ctrlProps/ctrlProp4.xml><?xml version="1.0" encoding="utf-8"?>
<formControlPr xmlns="http://schemas.microsoft.com/office/spreadsheetml/2009/9/main" objectType="Scroll" dx="16" fmlaLink="$A$6" horiz="1" inc="25" max="2500" min="400" page="10" val="1500"/>
</file>

<file path=xl/ctrlProps/ctrlProp40.xml><?xml version="1.0" encoding="utf-8"?>
<formControlPr xmlns="http://schemas.microsoft.com/office/spreadsheetml/2009/9/main" objectType="Scroll" dx="16" fmlaLink="$A$8" horiz="1" inc="5" max="600" min="100" page="10" val="300"/>
</file>

<file path=xl/ctrlProps/ctrlProp41.xml><?xml version="1.0" encoding="utf-8"?>
<formControlPr xmlns="http://schemas.microsoft.com/office/spreadsheetml/2009/9/main" objectType="Scroll" dx="16" fmlaLink="$A$9" horiz="1" inc="5" max="600" min="100" page="10" val="250"/>
</file>

<file path=xl/ctrlProps/ctrlProp42.xml><?xml version="1.0" encoding="utf-8"?>
<formControlPr xmlns="http://schemas.microsoft.com/office/spreadsheetml/2009/9/main" objectType="Scroll" dx="16" fmlaLink="$A$10" horiz="1" max="15" min="9" page="10" val="14"/>
</file>

<file path=xl/ctrlProps/ctrlProp43.xml><?xml version="1.0" encoding="utf-8"?>
<formControlPr xmlns="http://schemas.microsoft.com/office/spreadsheetml/2009/9/main" objectType="Scroll" dx="16" fmlaLink="$F$4" horiz="1" inc="25" max="1500" min="400" page="10" val="500"/>
</file>

<file path=xl/ctrlProps/ctrlProp44.xml><?xml version="1.0" encoding="utf-8"?>
<formControlPr xmlns="http://schemas.microsoft.com/office/spreadsheetml/2009/9/main" objectType="Scroll" dx="16" fmlaLink="$F$5" horiz="1" inc="5" max="600" min="100" page="10" val="150"/>
</file>

<file path=xl/ctrlProps/ctrlProp45.xml><?xml version="1.0" encoding="utf-8"?>
<formControlPr xmlns="http://schemas.microsoft.com/office/spreadsheetml/2009/9/main" objectType="Scroll" dx="16" fmlaLink="$F$6" horiz="1" inc="5" max="600" min="100" page="10" val="200"/>
</file>

<file path=xl/ctrlProps/ctrlProp46.xml><?xml version="1.0" encoding="utf-8"?>
<formControlPr xmlns="http://schemas.microsoft.com/office/spreadsheetml/2009/9/main" objectType="Scroll" dx="16" fmlaLink="$F$7" horiz="1" inc="5" max="600" min="100" page="10" val="325"/>
</file>

<file path=xl/ctrlProps/ctrlProp47.xml><?xml version="1.0" encoding="utf-8"?>
<formControlPr xmlns="http://schemas.microsoft.com/office/spreadsheetml/2009/9/main" objectType="Scroll" dx="16" fmlaLink="$F$8" horiz="1" inc="5" max="600" min="100" page="10" val="350"/>
</file>

<file path=xl/ctrlProps/ctrlProp48.xml><?xml version="1.0" encoding="utf-8"?>
<formControlPr xmlns="http://schemas.microsoft.com/office/spreadsheetml/2009/9/main" objectType="Scroll" dx="16" fmlaLink="$F$9" horiz="1" inc="5" max="600" min="100" page="10" val="375"/>
</file>

<file path=xl/ctrlProps/ctrlProp49.xml><?xml version="1.0" encoding="utf-8"?>
<formControlPr xmlns="http://schemas.microsoft.com/office/spreadsheetml/2009/9/main" objectType="Scroll" dx="16" fmlaLink="$A$8" horiz="1" inc="5" max="600" min="100" page="10" val="300"/>
</file>

<file path=xl/ctrlProps/ctrlProp5.xml><?xml version="1.0" encoding="utf-8"?>
<formControlPr xmlns="http://schemas.microsoft.com/office/spreadsheetml/2009/9/main" objectType="Scroll" dx="16" fmlaLink="$A$8" horiz="1" max="20" min="12" page="10" val="15"/>
</file>

<file path=xl/ctrlProps/ctrlProp50.xml><?xml version="1.0" encoding="utf-8"?>
<formControlPr xmlns="http://schemas.microsoft.com/office/spreadsheetml/2009/9/main" objectType="Scroll" dx="16" fmlaLink="$A$5" horiz="1" inc="5" max="400" min="75" page="10" val="200"/>
</file>

<file path=xl/ctrlProps/ctrlProp51.xml><?xml version="1.0" encoding="utf-8"?>
<formControlPr xmlns="http://schemas.microsoft.com/office/spreadsheetml/2009/9/main" objectType="Scroll" dx="16" fmlaLink="$A$6" horiz="1" inc="5" max="400" min="75" page="10" val="250"/>
</file>

<file path=xl/ctrlProps/ctrlProp52.xml><?xml version="1.0" encoding="utf-8"?>
<formControlPr xmlns="http://schemas.microsoft.com/office/spreadsheetml/2009/9/main" objectType="Scroll" dx="16" fmlaLink="$A$7" horiz="1" inc="5" max="400" min="75" page="10" val="300"/>
</file>

<file path=xl/ctrlProps/ctrlProp53.xml><?xml version="1.0" encoding="utf-8"?>
<formControlPr xmlns="http://schemas.microsoft.com/office/spreadsheetml/2009/9/main" objectType="Scroll" dx="16" fmlaLink="$A$8" horiz="1" inc="5" max="400" min="75" page="10" val="300"/>
</file>

<file path=xl/ctrlProps/ctrlProp54.xml><?xml version="1.0" encoding="utf-8"?>
<formControlPr xmlns="http://schemas.microsoft.com/office/spreadsheetml/2009/9/main" objectType="Scroll" dx="16" fmlaLink="$A$9" horiz="1" inc="5" max="400" min="75" page="10" val="250"/>
</file>

<file path=xl/ctrlProps/ctrlProp55.xml><?xml version="1.0" encoding="utf-8"?>
<formControlPr xmlns="http://schemas.microsoft.com/office/spreadsheetml/2009/9/main" objectType="Scroll" dx="16" fmlaLink="$F$5" horiz="1" inc="5" max="400" min="75" page="10" val="150"/>
</file>

<file path=xl/ctrlProps/ctrlProp56.xml><?xml version="1.0" encoding="utf-8"?>
<formControlPr xmlns="http://schemas.microsoft.com/office/spreadsheetml/2009/9/main" objectType="Scroll" dx="16" fmlaLink="$F$6" horiz="1" inc="5" max="400" min="75" page="10" val="200"/>
</file>

<file path=xl/ctrlProps/ctrlProp57.xml><?xml version="1.0" encoding="utf-8"?>
<formControlPr xmlns="http://schemas.microsoft.com/office/spreadsheetml/2009/9/main" objectType="Scroll" dx="16" fmlaLink="$F$7" horiz="1" inc="5" max="400" min="75" page="10" val="325"/>
</file>

<file path=xl/ctrlProps/ctrlProp58.xml><?xml version="1.0" encoding="utf-8"?>
<formControlPr xmlns="http://schemas.microsoft.com/office/spreadsheetml/2009/9/main" objectType="Scroll" dx="16" fmlaLink="$F$8" horiz="1" inc="5" max="400" min="75" page="10" val="350"/>
</file>

<file path=xl/ctrlProps/ctrlProp59.xml><?xml version="1.0" encoding="utf-8"?>
<formControlPr xmlns="http://schemas.microsoft.com/office/spreadsheetml/2009/9/main" objectType="Scroll" dx="16" fmlaLink="$F$9" horiz="1" inc="5" max="400" min="75" page="10" val="375"/>
</file>

<file path=xl/ctrlProps/ctrlProp6.xml><?xml version="1.0" encoding="utf-8"?>
<formControlPr xmlns="http://schemas.microsoft.com/office/spreadsheetml/2009/9/main" objectType="Scroll" dx="16" fmlaLink="$E$3" horiz="1" max="20" min="5" page="10" val="20"/>
</file>

<file path=xl/ctrlProps/ctrlProp60.xml><?xml version="1.0" encoding="utf-8"?>
<formControlPr xmlns="http://schemas.microsoft.com/office/spreadsheetml/2009/9/main" objectType="Scroll" dx="16" fmlaLink="$A$5" horiz="1" max="20" min="12" page="10" val="16"/>
</file>

<file path=xl/ctrlProps/ctrlProp61.xml><?xml version="1.0" encoding="utf-8"?>
<formControlPr xmlns="http://schemas.microsoft.com/office/spreadsheetml/2009/9/main" objectType="Scroll" dx="16" fmlaLink="$A$6" horiz="1" inc="5" max="20" min="15" page="10" val="15"/>
</file>

<file path=xl/ctrlProps/ctrlProp62.xml><?xml version="1.0" encoding="utf-8"?>
<formControlPr xmlns="http://schemas.microsoft.com/office/spreadsheetml/2009/9/main" objectType="Scroll" dx="16" fmlaLink="$A$4" horiz="1" max="18" min="12" page="10" val="15"/>
</file>

<file path=xl/ctrlProps/ctrlProp63.xml><?xml version="1.0" encoding="utf-8"?>
<formControlPr xmlns="http://schemas.microsoft.com/office/spreadsheetml/2009/9/main" objectType="Scroll" dx="16" fmlaLink="$A$3" horiz="1" inc="5" max="70" min="40" page="10" val="55"/>
</file>

<file path=xl/ctrlProps/ctrlProp64.xml><?xml version="1.0" encoding="utf-8"?>
<formControlPr xmlns="http://schemas.microsoft.com/office/spreadsheetml/2009/9/main" objectType="Scroll" dx="16" fmlaLink="$A$3" horiz="1" inc="25" max="1000" min="250" page="10" val="750"/>
</file>

<file path=xl/ctrlProps/ctrlProp65.xml><?xml version="1.0" encoding="utf-8"?>
<formControlPr xmlns="http://schemas.microsoft.com/office/spreadsheetml/2009/9/main" objectType="Scroll" dx="16" fmlaLink="$A$4" horiz="1" inc="25" max="2500" min="250" page="10" val="1000"/>
</file>

<file path=xl/ctrlProps/ctrlProp66.xml><?xml version="1.0" encoding="utf-8"?>
<formControlPr xmlns="http://schemas.microsoft.com/office/spreadsheetml/2009/9/main" objectType="Scroll" dx="16" fmlaLink="$A$5" horiz="1" max="20" min="12" page="10" val="15"/>
</file>

<file path=xl/ctrlProps/ctrlProp67.xml><?xml version="1.0" encoding="utf-8"?>
<formControlPr xmlns="http://schemas.microsoft.com/office/spreadsheetml/2009/9/main" objectType="Scroll" dx="16" fmlaLink="$A$5" horiz="1" inc="5" max="600" min="100" page="10" val="275"/>
</file>

<file path=xl/ctrlProps/ctrlProp68.xml><?xml version="1.0" encoding="utf-8"?>
<formControlPr xmlns="http://schemas.microsoft.com/office/spreadsheetml/2009/9/main" objectType="Scroll" dx="16" fmlaLink="$A$3" horiz="1" inc="25" max="1500" min="400" page="10" val="900"/>
</file>

<file path=xl/ctrlProps/ctrlProp69.xml><?xml version="1.0" encoding="utf-8"?>
<formControlPr xmlns="http://schemas.microsoft.com/office/spreadsheetml/2009/9/main" objectType="Scroll" dx="16" fmlaLink="$A$6" horiz="1" inc="5" max="600" min="100" page="10" val="300"/>
</file>

<file path=xl/ctrlProps/ctrlProp7.xml><?xml version="1.0" encoding="utf-8"?>
<formControlPr xmlns="http://schemas.microsoft.com/office/spreadsheetml/2009/9/main" objectType="Scroll" dx="16" fmlaLink="$A$4" horiz="1" inc="5" max="100" min="40" page="10" val="100"/>
</file>

<file path=xl/ctrlProps/ctrlProp70.xml><?xml version="1.0" encoding="utf-8"?>
<formControlPr xmlns="http://schemas.microsoft.com/office/spreadsheetml/2009/9/main" objectType="Scroll" dx="16" fmlaLink="$A$7" horiz="1" inc="5" max="600" min="100" page="10" val="350"/>
</file>

<file path=xl/ctrlProps/ctrlProp71.xml><?xml version="1.0" encoding="utf-8"?>
<formControlPr xmlns="http://schemas.microsoft.com/office/spreadsheetml/2009/9/main" objectType="Scroll" dx="16" fmlaLink="$A$8" horiz="1" inc="5" max="600" min="100" page="10" val="350"/>
</file>

<file path=xl/ctrlProps/ctrlProp72.xml><?xml version="1.0" encoding="utf-8"?>
<formControlPr xmlns="http://schemas.microsoft.com/office/spreadsheetml/2009/9/main" objectType="Scroll" dx="16" fmlaLink="$A$9" horiz="1" inc="5" max="600" min="100" page="10" val="300"/>
</file>

<file path=xl/ctrlProps/ctrlProp73.xml><?xml version="1.0" encoding="utf-8"?>
<formControlPr xmlns="http://schemas.microsoft.com/office/spreadsheetml/2009/9/main" objectType="Scroll" dx="16" fmlaLink="$A$10" horiz="1" max="15" min="9" page="10" val="15"/>
</file>

<file path=xl/ctrlProps/ctrlProp74.xml><?xml version="1.0" encoding="utf-8"?>
<formControlPr xmlns="http://schemas.microsoft.com/office/spreadsheetml/2009/9/main" objectType="Scroll" dx="16" fmlaLink="$E$18" horiz="1" max="25" min="10" page="10" val="21"/>
</file>

<file path=xl/ctrlProps/ctrlProp75.xml><?xml version="1.0" encoding="utf-8"?>
<formControlPr xmlns="http://schemas.microsoft.com/office/spreadsheetml/2009/9/main" objectType="Scroll" dx="16" fmlaLink="$E$20" horiz="1" max="25" min="10" page="10" val="22"/>
</file>

<file path=xl/ctrlProps/ctrlProp76.xml><?xml version="1.0" encoding="utf-8"?>
<formControlPr xmlns="http://schemas.microsoft.com/office/spreadsheetml/2009/9/main" objectType="Scroll" dx="16" fmlaLink="$A$4" horiz="1" inc="5" max="750" min="250" page="10" val="400"/>
</file>

<file path=xl/ctrlProps/ctrlProp77.xml><?xml version="1.0" encoding="utf-8"?>
<formControlPr xmlns="http://schemas.microsoft.com/office/spreadsheetml/2009/9/main" objectType="Scroll" dx="16" fmlaLink="$G$17" horiz="1" max="30" min="12" page="10" val="22"/>
</file>

<file path=xl/ctrlProps/ctrlProp78.xml><?xml version="1.0" encoding="utf-8"?>
<formControlPr xmlns="http://schemas.microsoft.com/office/spreadsheetml/2009/9/main" objectType="Scroll" dx="16" fmlaLink="$A$3" horiz="1" inc="25" max="2500" min="750" page="10" val="1500"/>
</file>

<file path=xl/ctrlProps/ctrlProp79.xml><?xml version="1.0" encoding="utf-8"?>
<formControlPr xmlns="http://schemas.microsoft.com/office/spreadsheetml/2009/9/main" objectType="Scroll" dx="16" fmlaLink="$A$5" horiz="1" inc="5" max="750" min="250" page="10" val="525"/>
</file>

<file path=xl/ctrlProps/ctrlProp8.xml><?xml version="1.0" encoding="utf-8"?>
<formControlPr xmlns="http://schemas.microsoft.com/office/spreadsheetml/2009/9/main" objectType="Scroll" dx="16" fmlaLink="$A$4" horiz="1" inc="5" max="750" min="250" page="10" val="400"/>
</file>

<file path=xl/ctrlProps/ctrlProp80.xml><?xml version="1.0" encoding="utf-8"?>
<formControlPr xmlns="http://schemas.microsoft.com/office/spreadsheetml/2009/9/main" objectType="Scroll" dx="16" fmlaLink="$A$6" horiz="1" inc="5" max="750" min="250" page="10" val="600"/>
</file>

<file path=xl/ctrlProps/ctrlProp81.xml><?xml version="1.0" encoding="utf-8"?>
<formControlPr xmlns="http://schemas.microsoft.com/office/spreadsheetml/2009/9/main" objectType="Scroll" dx="16" fmlaLink="$A$7" horiz="1" inc="5" max="750" min="250" page="10" val="600"/>
</file>

<file path=xl/ctrlProps/ctrlProp82.xml><?xml version="1.0" encoding="utf-8"?>
<formControlPr xmlns="http://schemas.microsoft.com/office/spreadsheetml/2009/9/main" objectType="Scroll" dx="16" fmlaLink="$A$8" horiz="1" inc="5" max="750" min="250" page="10" val="600"/>
</file>

<file path=xl/ctrlProps/ctrlProp83.xml><?xml version="1.0" encoding="utf-8"?>
<formControlPr xmlns="http://schemas.microsoft.com/office/spreadsheetml/2009/9/main" objectType="Scroll" dx="16" fmlaLink="$G$21" horiz="1" max="30" min="12" page="10" val="23"/>
</file>

<file path=xl/ctrlProps/ctrlProp84.xml><?xml version="1.0" encoding="utf-8"?>
<formControlPr xmlns="http://schemas.microsoft.com/office/spreadsheetml/2009/9/main" objectType="Scroll" dx="16" fmlaLink="$A$9" horiz="1" max="15" min="12" page="10" val="15"/>
</file>

<file path=xl/ctrlProps/ctrlProp85.xml><?xml version="1.0" encoding="utf-8"?>
<formControlPr xmlns="http://schemas.microsoft.com/office/spreadsheetml/2009/9/main" objectType="Scroll" dx="16" fmlaLink="$A$4" horiz="1" inc="25" max="1500" min="500" page="10" val="500"/>
</file>

<file path=xl/ctrlProps/ctrlProp86.xml><?xml version="1.0" encoding="utf-8"?>
<formControlPr xmlns="http://schemas.microsoft.com/office/spreadsheetml/2009/9/main" objectType="Scroll" dx="16" fmlaLink="$A$5" horiz="1" inc="25" max="2500" min="600" page="10" val="675"/>
</file>

<file path=xl/ctrlProps/ctrlProp87.xml><?xml version="1.0" encoding="utf-8"?>
<formControlPr xmlns="http://schemas.microsoft.com/office/spreadsheetml/2009/9/main" objectType="Scroll" dx="16" fmlaLink="$A$7" horiz="1" inc="25" max="1500" min="500" page="10" val="950"/>
</file>

<file path=xl/ctrlProps/ctrlProp88.xml><?xml version="1.0" encoding="utf-8"?>
<formControlPr xmlns="http://schemas.microsoft.com/office/spreadsheetml/2009/9/main" objectType="Scroll" dx="16" fmlaLink="$A$8" horiz="1" inc="25" max="2500" min="600" page="10" val="1250"/>
</file>

<file path=xl/ctrlProps/ctrlProp89.xml><?xml version="1.0" encoding="utf-8"?>
<formControlPr xmlns="http://schemas.microsoft.com/office/spreadsheetml/2009/9/main" objectType="Scroll" dx="16" fmlaLink="$A$9" horiz="1" max="20" min="10" page="10" val="15"/>
</file>

<file path=xl/ctrlProps/ctrlProp9.xml><?xml version="1.0" encoding="utf-8"?>
<formControlPr xmlns="http://schemas.microsoft.com/office/spreadsheetml/2009/9/main" objectType="Scroll" dx="16" fmlaLink="$A$9" horiz="1" max="20" min="12" page="10" val="15"/>
</file>

<file path=xl/ctrlProps/ctrlProp90.xml><?xml version="1.0" encoding="utf-8"?>
<formControlPr xmlns="http://schemas.microsoft.com/office/spreadsheetml/2009/9/main" objectType="Scroll" dx="16" fmlaLink="$A$6" horiz="1" inc="25" max="800" min="250" page="10" val="400"/>
</file>

<file path=xl/ctrlProps/ctrlProp91.xml><?xml version="1.0" encoding="utf-8"?>
<formControlPr xmlns="http://schemas.microsoft.com/office/spreadsheetml/2009/9/main" objectType="Scroll" dx="16" fmlaLink="$A$8" horiz="1" inc="25" max="2500" min="750" page="10" val="1200"/>
</file>

<file path=xl/ctrlProps/ctrlProp92.xml><?xml version="1.0" encoding="utf-8"?>
<formControlPr xmlns="http://schemas.microsoft.com/office/spreadsheetml/2009/9/main" objectType="Scroll" dx="16" fmlaLink="$D$9" horiz="1" max="10" min="5" page="10" val="8"/>
</file>

<file path=xl/ctrlProps/ctrlProp93.xml><?xml version="1.0" encoding="utf-8"?>
<formControlPr xmlns="http://schemas.microsoft.com/office/spreadsheetml/2009/9/main" objectType="Scroll" dx="16" fmlaLink="$A$10" horiz="1" inc="25" max="800" min="250" page="10" val="375"/>
</file>

<file path=xl/ctrlProps/ctrlProp94.xml><?xml version="1.0" encoding="utf-8"?>
<formControlPr xmlns="http://schemas.microsoft.com/office/spreadsheetml/2009/9/main" objectType="Scroll" dx="16" fmlaLink="$A$11" horiz="1" max="20" min="10" page="10" val="10"/>
</file>

<file path=xl/ctrlProps/ctrlProp95.xml><?xml version="1.0" encoding="utf-8"?>
<formControlPr xmlns="http://schemas.microsoft.com/office/spreadsheetml/2009/9/main" objectType="Scroll" dx="16" fmlaLink="$A$4" horiz="1" inc="25" max="1250" min="500" page="10" val="900"/>
</file>

<file path=xl/ctrlProps/ctrlProp96.xml><?xml version="1.0" encoding="utf-8"?>
<formControlPr xmlns="http://schemas.microsoft.com/office/spreadsheetml/2009/9/main" objectType="Scroll" dx="16" fmlaLink="$D$5" horiz="1" max="6" min="3" page="10" val="5"/>
</file>

<file path=xl/ctrlProps/ctrlProp97.xml><?xml version="1.0" encoding="utf-8"?>
<formControlPr xmlns="http://schemas.microsoft.com/office/spreadsheetml/2009/9/main" objectType="Scroll" dx="16" fmlaLink="$A$6" horiz="1" inc="25" max="800" min="250" page="10" val="400"/>
</file>

<file path=xl/ctrlProps/ctrlProp98.xml><?xml version="1.0" encoding="utf-8"?>
<formControlPr xmlns="http://schemas.microsoft.com/office/spreadsheetml/2009/9/main" objectType="Scroll" dx="16" fmlaLink="$A$8" horiz="1" inc="25" max="2500" min="750" page="10" val="1200"/>
</file>

<file path=xl/ctrlProps/ctrlProp99.xml><?xml version="1.0" encoding="utf-8"?>
<formControlPr xmlns="http://schemas.microsoft.com/office/spreadsheetml/2009/9/main" objectType="Scroll" dx="16" fmlaLink="$D$9" horiz="1" max="10" min="5" page="10" val="8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762000</xdr:colOff>
          <xdr:row>2</xdr:row>
          <xdr:rowOff>28575</xdr:rowOff>
        </xdr:from>
        <xdr:to>
          <xdr:col>2</xdr:col>
          <xdr:colOff>1247775</xdr:colOff>
          <xdr:row>2</xdr:row>
          <xdr:rowOff>190500</xdr:rowOff>
        </xdr:to>
        <xdr:sp macro="" textlink="">
          <xdr:nvSpPr>
            <xdr:cNvPr id="35841" name="Scroll Bar 1" hidden="1">
              <a:extLst>
                <a:ext uri="{63B3BB69-23CF-44E3-9099-C40C66FF867C}">
                  <a14:compatExt spid="_x0000_s358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762000</xdr:colOff>
          <xdr:row>3</xdr:row>
          <xdr:rowOff>19050</xdr:rowOff>
        </xdr:from>
        <xdr:to>
          <xdr:col>2</xdr:col>
          <xdr:colOff>1247775</xdr:colOff>
          <xdr:row>3</xdr:row>
          <xdr:rowOff>180975</xdr:rowOff>
        </xdr:to>
        <xdr:sp macro="" textlink="">
          <xdr:nvSpPr>
            <xdr:cNvPr id="35842" name="Scroll Bar 2" hidden="1">
              <a:extLst>
                <a:ext uri="{63B3BB69-23CF-44E3-9099-C40C66FF867C}">
                  <a14:compatExt spid="_x0000_s358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762000</xdr:colOff>
          <xdr:row>4</xdr:row>
          <xdr:rowOff>19050</xdr:rowOff>
        </xdr:from>
        <xdr:to>
          <xdr:col>2</xdr:col>
          <xdr:colOff>1247775</xdr:colOff>
          <xdr:row>4</xdr:row>
          <xdr:rowOff>180975</xdr:rowOff>
        </xdr:to>
        <xdr:sp macro="" textlink="">
          <xdr:nvSpPr>
            <xdr:cNvPr id="35843" name="Scroll Bar 3" hidden="1">
              <a:extLst>
                <a:ext uri="{63B3BB69-23CF-44E3-9099-C40C66FF867C}">
                  <a14:compatExt spid="_x0000_s358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4</xdr:row>
          <xdr:rowOff>9525</xdr:rowOff>
        </xdr:from>
        <xdr:to>
          <xdr:col>2</xdr:col>
          <xdr:colOff>838200</xdr:colOff>
          <xdr:row>4</xdr:row>
          <xdr:rowOff>171450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2</xdr:row>
          <xdr:rowOff>28575</xdr:rowOff>
        </xdr:from>
        <xdr:to>
          <xdr:col>2</xdr:col>
          <xdr:colOff>838200</xdr:colOff>
          <xdr:row>2</xdr:row>
          <xdr:rowOff>190500</xdr:rowOff>
        </xdr:to>
        <xdr:sp macro="" textlink="">
          <xdr:nvSpPr>
            <xdr:cNvPr id="6146" name="Scroll Bar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5</xdr:row>
          <xdr:rowOff>9525</xdr:rowOff>
        </xdr:from>
        <xdr:to>
          <xdr:col>2</xdr:col>
          <xdr:colOff>838200</xdr:colOff>
          <xdr:row>5</xdr:row>
          <xdr:rowOff>171450</xdr:rowOff>
        </xdr:to>
        <xdr:sp macro="" textlink="">
          <xdr:nvSpPr>
            <xdr:cNvPr id="6147" name="Scroll Bar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6</xdr:row>
          <xdr:rowOff>9525</xdr:rowOff>
        </xdr:from>
        <xdr:to>
          <xdr:col>2</xdr:col>
          <xdr:colOff>838200</xdr:colOff>
          <xdr:row>6</xdr:row>
          <xdr:rowOff>171450</xdr:rowOff>
        </xdr:to>
        <xdr:sp macro="" textlink="">
          <xdr:nvSpPr>
            <xdr:cNvPr id="6148" name="Scroll Bar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7</xdr:row>
          <xdr:rowOff>9525</xdr:rowOff>
        </xdr:from>
        <xdr:to>
          <xdr:col>2</xdr:col>
          <xdr:colOff>838200</xdr:colOff>
          <xdr:row>7</xdr:row>
          <xdr:rowOff>171450</xdr:rowOff>
        </xdr:to>
        <xdr:sp macro="" textlink="">
          <xdr:nvSpPr>
            <xdr:cNvPr id="6149" name="Scroll Bar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8</xdr:row>
          <xdr:rowOff>9525</xdr:rowOff>
        </xdr:from>
        <xdr:to>
          <xdr:col>2</xdr:col>
          <xdr:colOff>838200</xdr:colOff>
          <xdr:row>8</xdr:row>
          <xdr:rowOff>171450</xdr:rowOff>
        </xdr:to>
        <xdr:sp macro="" textlink="">
          <xdr:nvSpPr>
            <xdr:cNvPr id="6150" name="Scroll Bar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9</xdr:row>
          <xdr:rowOff>9525</xdr:rowOff>
        </xdr:from>
        <xdr:to>
          <xdr:col>2</xdr:col>
          <xdr:colOff>838200</xdr:colOff>
          <xdr:row>9</xdr:row>
          <xdr:rowOff>171450</xdr:rowOff>
        </xdr:to>
        <xdr:sp macro="" textlink="">
          <xdr:nvSpPr>
            <xdr:cNvPr id="6151" name="Scroll Bar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323850</xdr:colOff>
          <xdr:row>17</xdr:row>
          <xdr:rowOff>38100</xdr:rowOff>
        </xdr:from>
        <xdr:to>
          <xdr:col>11</xdr:col>
          <xdr:colOff>171450</xdr:colOff>
          <xdr:row>17</xdr:row>
          <xdr:rowOff>200025</xdr:rowOff>
        </xdr:to>
        <xdr:sp macro="" textlink="">
          <xdr:nvSpPr>
            <xdr:cNvPr id="6152" name="Scroll Bar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323850</xdr:colOff>
          <xdr:row>19</xdr:row>
          <xdr:rowOff>19050</xdr:rowOff>
        </xdr:from>
        <xdr:to>
          <xdr:col>11</xdr:col>
          <xdr:colOff>171450</xdr:colOff>
          <xdr:row>19</xdr:row>
          <xdr:rowOff>180975</xdr:rowOff>
        </xdr:to>
        <xdr:sp macro="" textlink="">
          <xdr:nvSpPr>
            <xdr:cNvPr id="6153" name="Scroll Bar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3</xdr:row>
          <xdr:rowOff>47625</xdr:rowOff>
        </xdr:from>
        <xdr:to>
          <xdr:col>2</xdr:col>
          <xdr:colOff>1200150</xdr:colOff>
          <xdr:row>3</xdr:row>
          <xdr:rowOff>209550</xdr:rowOff>
        </xdr:to>
        <xdr:sp macro="" textlink="">
          <xdr:nvSpPr>
            <xdr:cNvPr id="41985" name="Scroll Bar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16</xdr:row>
          <xdr:rowOff>19050</xdr:rowOff>
        </xdr:from>
        <xdr:to>
          <xdr:col>12</xdr:col>
          <xdr:colOff>85725</xdr:colOff>
          <xdr:row>16</xdr:row>
          <xdr:rowOff>180975</xdr:rowOff>
        </xdr:to>
        <xdr:sp macro="" textlink="">
          <xdr:nvSpPr>
            <xdr:cNvPr id="41986" name="Scroll Bar 2" hidden="1">
              <a:extLst>
                <a:ext uri="{63B3BB69-23CF-44E3-9099-C40C66FF867C}">
                  <a14:compatExt spid="_x0000_s419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2</xdr:row>
          <xdr:rowOff>57150</xdr:rowOff>
        </xdr:from>
        <xdr:to>
          <xdr:col>2</xdr:col>
          <xdr:colOff>1200150</xdr:colOff>
          <xdr:row>2</xdr:row>
          <xdr:rowOff>219075</xdr:rowOff>
        </xdr:to>
        <xdr:sp macro="" textlink="">
          <xdr:nvSpPr>
            <xdr:cNvPr id="41987" name="Scroll Bar 3" hidden="1">
              <a:extLst>
                <a:ext uri="{63B3BB69-23CF-44E3-9099-C40C66FF867C}">
                  <a14:compatExt spid="_x0000_s419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4</xdr:row>
          <xdr:rowOff>38100</xdr:rowOff>
        </xdr:from>
        <xdr:to>
          <xdr:col>2</xdr:col>
          <xdr:colOff>1200150</xdr:colOff>
          <xdr:row>4</xdr:row>
          <xdr:rowOff>200025</xdr:rowOff>
        </xdr:to>
        <xdr:sp macro="" textlink="">
          <xdr:nvSpPr>
            <xdr:cNvPr id="41988" name="Scroll Bar 4" hidden="1">
              <a:extLst>
                <a:ext uri="{63B3BB69-23CF-44E3-9099-C40C66FF867C}">
                  <a14:compatExt spid="_x0000_s419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5</xdr:row>
          <xdr:rowOff>28575</xdr:rowOff>
        </xdr:from>
        <xdr:to>
          <xdr:col>2</xdr:col>
          <xdr:colOff>1200150</xdr:colOff>
          <xdr:row>5</xdr:row>
          <xdr:rowOff>190500</xdr:rowOff>
        </xdr:to>
        <xdr:sp macro="" textlink="">
          <xdr:nvSpPr>
            <xdr:cNvPr id="41989" name="Scroll Bar 5" hidden="1">
              <a:extLst>
                <a:ext uri="{63B3BB69-23CF-44E3-9099-C40C66FF867C}">
                  <a14:compatExt spid="_x0000_s419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6</xdr:row>
          <xdr:rowOff>28575</xdr:rowOff>
        </xdr:from>
        <xdr:to>
          <xdr:col>2</xdr:col>
          <xdr:colOff>1200150</xdr:colOff>
          <xdr:row>6</xdr:row>
          <xdr:rowOff>190500</xdr:rowOff>
        </xdr:to>
        <xdr:sp macro="" textlink="">
          <xdr:nvSpPr>
            <xdr:cNvPr id="41990" name="Scroll Bar 6" hidden="1">
              <a:extLst>
                <a:ext uri="{63B3BB69-23CF-44E3-9099-C40C66FF867C}">
                  <a14:compatExt spid="_x0000_s419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7</xdr:row>
          <xdr:rowOff>28575</xdr:rowOff>
        </xdr:from>
        <xdr:to>
          <xdr:col>2</xdr:col>
          <xdr:colOff>1200150</xdr:colOff>
          <xdr:row>7</xdr:row>
          <xdr:rowOff>190500</xdr:rowOff>
        </xdr:to>
        <xdr:sp macro="" textlink="">
          <xdr:nvSpPr>
            <xdr:cNvPr id="41991" name="Scroll Bar 7" hidden="1">
              <a:extLst>
                <a:ext uri="{63B3BB69-23CF-44E3-9099-C40C66FF867C}">
                  <a14:compatExt spid="_x0000_s419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123825</xdr:colOff>
          <xdr:row>20</xdr:row>
          <xdr:rowOff>28575</xdr:rowOff>
        </xdr:from>
        <xdr:to>
          <xdr:col>12</xdr:col>
          <xdr:colOff>76200</xdr:colOff>
          <xdr:row>20</xdr:row>
          <xdr:rowOff>190500</xdr:rowOff>
        </xdr:to>
        <xdr:sp macro="" textlink="">
          <xdr:nvSpPr>
            <xdr:cNvPr id="41992" name="Scroll Bar 8" hidden="1">
              <a:extLst>
                <a:ext uri="{63B3BB69-23CF-44E3-9099-C40C66FF867C}">
                  <a14:compatExt spid="_x0000_s419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8</xdr:row>
          <xdr:rowOff>19050</xdr:rowOff>
        </xdr:from>
        <xdr:to>
          <xdr:col>2</xdr:col>
          <xdr:colOff>1200150</xdr:colOff>
          <xdr:row>8</xdr:row>
          <xdr:rowOff>180975</xdr:rowOff>
        </xdr:to>
        <xdr:sp macro="" textlink="">
          <xdr:nvSpPr>
            <xdr:cNvPr id="41993" name="Scroll Bar 9" hidden="1">
              <a:extLst>
                <a:ext uri="{63B3BB69-23CF-44E3-9099-C40C66FF867C}">
                  <a14:compatExt spid="_x0000_s41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657225</xdr:colOff>
          <xdr:row>3</xdr:row>
          <xdr:rowOff>28575</xdr:rowOff>
        </xdr:from>
        <xdr:to>
          <xdr:col>2</xdr:col>
          <xdr:colOff>1143000</xdr:colOff>
          <xdr:row>3</xdr:row>
          <xdr:rowOff>190500</xdr:rowOff>
        </xdr:to>
        <xdr:sp macro="" textlink="">
          <xdr:nvSpPr>
            <xdr:cNvPr id="84993" name="Scroll Bar 1" hidden="1">
              <a:extLst>
                <a:ext uri="{63B3BB69-23CF-44E3-9099-C40C66FF867C}">
                  <a14:compatExt spid="_x0000_s84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657225</xdr:colOff>
          <xdr:row>4</xdr:row>
          <xdr:rowOff>28575</xdr:rowOff>
        </xdr:from>
        <xdr:to>
          <xdr:col>2</xdr:col>
          <xdr:colOff>1143000</xdr:colOff>
          <xdr:row>4</xdr:row>
          <xdr:rowOff>190500</xdr:rowOff>
        </xdr:to>
        <xdr:sp macro="" textlink="">
          <xdr:nvSpPr>
            <xdr:cNvPr id="84994" name="Scroll Bar 2" hidden="1">
              <a:extLst>
                <a:ext uri="{63B3BB69-23CF-44E3-9099-C40C66FF867C}">
                  <a14:compatExt spid="_x0000_s849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657225</xdr:colOff>
          <xdr:row>6</xdr:row>
          <xdr:rowOff>9525</xdr:rowOff>
        </xdr:from>
        <xdr:to>
          <xdr:col>2</xdr:col>
          <xdr:colOff>1143000</xdr:colOff>
          <xdr:row>6</xdr:row>
          <xdr:rowOff>171450</xdr:rowOff>
        </xdr:to>
        <xdr:sp macro="" textlink="">
          <xdr:nvSpPr>
            <xdr:cNvPr id="84995" name="Scroll Bar 3" hidden="1">
              <a:extLst>
                <a:ext uri="{63B3BB69-23CF-44E3-9099-C40C66FF867C}">
                  <a14:compatExt spid="_x0000_s849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657225</xdr:colOff>
          <xdr:row>7</xdr:row>
          <xdr:rowOff>9525</xdr:rowOff>
        </xdr:from>
        <xdr:to>
          <xdr:col>2</xdr:col>
          <xdr:colOff>1143000</xdr:colOff>
          <xdr:row>7</xdr:row>
          <xdr:rowOff>171450</xdr:rowOff>
        </xdr:to>
        <xdr:sp macro="" textlink="">
          <xdr:nvSpPr>
            <xdr:cNvPr id="84996" name="Scroll Bar 4" hidden="1">
              <a:extLst>
                <a:ext uri="{63B3BB69-23CF-44E3-9099-C40C66FF867C}">
                  <a14:compatExt spid="_x0000_s849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657225</xdr:colOff>
          <xdr:row>8</xdr:row>
          <xdr:rowOff>9525</xdr:rowOff>
        </xdr:from>
        <xdr:to>
          <xdr:col>2</xdr:col>
          <xdr:colOff>1143000</xdr:colOff>
          <xdr:row>8</xdr:row>
          <xdr:rowOff>171450</xdr:rowOff>
        </xdr:to>
        <xdr:sp macro="" textlink="">
          <xdr:nvSpPr>
            <xdr:cNvPr id="84997" name="Scroll Bar 5" hidden="1">
              <a:extLst>
                <a:ext uri="{63B3BB69-23CF-44E3-9099-C40C66FF867C}">
                  <a14:compatExt spid="_x0000_s849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57149</xdr:colOff>
      <xdr:row>9</xdr:row>
      <xdr:rowOff>0</xdr:rowOff>
    </xdr:from>
    <xdr:to>
      <xdr:col>10</xdr:col>
      <xdr:colOff>85724</xdr:colOff>
      <xdr:row>10</xdr:row>
      <xdr:rowOff>38100</xdr:rowOff>
    </xdr:to>
    <xdr:sp macro="" textlink="$I$6">
      <xdr:nvSpPr>
        <xdr:cNvPr id="4" name="TextBox 3"/>
        <xdr:cNvSpPr txBox="1"/>
      </xdr:nvSpPr>
      <xdr:spPr>
        <a:xfrm>
          <a:off x="5019674" y="1714500"/>
          <a:ext cx="28575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B6096018-F5AF-4067-B54C-59726A568809}" type="TxLink">
            <a:rPr lang="en-US" sz="700" b="0" i="0" u="none" strike="noStrike">
              <a:solidFill>
                <a:srgbClr val="000000"/>
              </a:solidFill>
              <a:latin typeface="Calibri"/>
            </a:rPr>
            <a:pPr/>
            <a:t>5</a:t>
          </a:fld>
          <a:endParaRPr lang="id-ID" sz="700"/>
        </a:p>
      </xdr:txBody>
    </xdr:sp>
    <xdr:clientData/>
  </xdr:twoCellAnchor>
  <xdr:twoCellAnchor>
    <xdr:from>
      <xdr:col>7</xdr:col>
      <xdr:colOff>600075</xdr:colOff>
      <xdr:row>10</xdr:row>
      <xdr:rowOff>66674</xdr:rowOff>
    </xdr:from>
    <xdr:to>
      <xdr:col>10</xdr:col>
      <xdr:colOff>76200</xdr:colOff>
      <xdr:row>10</xdr:row>
      <xdr:rowOff>200025</xdr:rowOff>
    </xdr:to>
    <xdr:sp macro="" textlink="">
      <xdr:nvSpPr>
        <xdr:cNvPr id="5" name="TextBox 4"/>
        <xdr:cNvSpPr txBox="1"/>
      </xdr:nvSpPr>
      <xdr:spPr>
        <a:xfrm>
          <a:off x="4953000" y="1990724"/>
          <a:ext cx="314325" cy="1333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id-ID" sz="700" b="0" i="0" u="none" strike="noStrike">
              <a:solidFill>
                <a:srgbClr val="000000"/>
              </a:solidFill>
              <a:latin typeface="Calibri"/>
            </a:rPr>
            <a:t>i=1</a:t>
          </a:r>
          <a:endParaRPr lang="en-US" sz="700" b="0" i="0" u="none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8</xdr:col>
      <xdr:colOff>9525</xdr:colOff>
      <xdr:row>11</xdr:row>
      <xdr:rowOff>19050</xdr:rowOff>
    </xdr:from>
    <xdr:to>
      <xdr:col>13</xdr:col>
      <xdr:colOff>47625</xdr:colOff>
      <xdr:row>12</xdr:row>
      <xdr:rowOff>161925</xdr:rowOff>
    </xdr:to>
    <xdr:sp macro="" textlink="">
      <xdr:nvSpPr>
        <xdr:cNvPr id="6" name="Double Bracket 5"/>
        <xdr:cNvSpPr/>
      </xdr:nvSpPr>
      <xdr:spPr>
        <a:xfrm>
          <a:off x="4972050" y="2162175"/>
          <a:ext cx="933450" cy="361950"/>
        </a:xfrm>
        <a:prstGeom prst="bracketPair">
          <a:avLst/>
        </a:prstGeom>
        <a:ln>
          <a:solidFill>
            <a:srgbClr val="070C1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18</xdr:col>
      <xdr:colOff>609599</xdr:colOff>
      <xdr:row>8</xdr:row>
      <xdr:rowOff>180975</xdr:rowOff>
    </xdr:from>
    <xdr:to>
      <xdr:col>21</xdr:col>
      <xdr:colOff>47624</xdr:colOff>
      <xdr:row>10</xdr:row>
      <xdr:rowOff>28575</xdr:rowOff>
    </xdr:to>
    <xdr:sp macro="" textlink="$T$6">
      <xdr:nvSpPr>
        <xdr:cNvPr id="7" name="TextBox 6"/>
        <xdr:cNvSpPr txBox="1"/>
      </xdr:nvSpPr>
      <xdr:spPr>
        <a:xfrm>
          <a:off x="8686799" y="1704975"/>
          <a:ext cx="27622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BE7AD1E6-1F4A-4835-97C3-8C7DBFCFBA39}" type="TxLink">
            <a:rPr lang="en-US" sz="700" b="0" i="0" u="none" strike="noStrike">
              <a:solidFill>
                <a:srgbClr val="000000"/>
              </a:solidFill>
              <a:latin typeface="Calibri"/>
            </a:rPr>
            <a:pPr/>
            <a:t>8</a:t>
          </a:fld>
          <a:endParaRPr lang="id-ID" sz="700"/>
        </a:p>
      </xdr:txBody>
    </xdr:sp>
    <xdr:clientData/>
  </xdr:twoCellAnchor>
  <xdr:twoCellAnchor>
    <xdr:from>
      <xdr:col>18</xdr:col>
      <xdr:colOff>600075</xdr:colOff>
      <xdr:row>10</xdr:row>
      <xdr:rowOff>66674</xdr:rowOff>
    </xdr:from>
    <xdr:to>
      <xdr:col>21</xdr:col>
      <xdr:colOff>76200</xdr:colOff>
      <xdr:row>10</xdr:row>
      <xdr:rowOff>200025</xdr:rowOff>
    </xdr:to>
    <xdr:sp macro="" textlink="">
      <xdr:nvSpPr>
        <xdr:cNvPr id="8" name="TextBox 7"/>
        <xdr:cNvSpPr txBox="1"/>
      </xdr:nvSpPr>
      <xdr:spPr>
        <a:xfrm>
          <a:off x="4867275" y="1990724"/>
          <a:ext cx="314325" cy="1333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id-ID" sz="700" b="0" i="0" u="none" strike="noStrike">
              <a:solidFill>
                <a:srgbClr val="000000"/>
              </a:solidFill>
              <a:latin typeface="Calibri"/>
            </a:rPr>
            <a:t>i=1</a:t>
          </a:r>
          <a:endParaRPr lang="en-US" sz="700" b="0" i="0" u="none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19</xdr:col>
      <xdr:colOff>9525</xdr:colOff>
      <xdr:row>11</xdr:row>
      <xdr:rowOff>19050</xdr:rowOff>
    </xdr:from>
    <xdr:to>
      <xdr:col>24</xdr:col>
      <xdr:colOff>47625</xdr:colOff>
      <xdr:row>12</xdr:row>
      <xdr:rowOff>161925</xdr:rowOff>
    </xdr:to>
    <xdr:sp macro="" textlink="">
      <xdr:nvSpPr>
        <xdr:cNvPr id="9" name="Double Bracket 8"/>
        <xdr:cNvSpPr/>
      </xdr:nvSpPr>
      <xdr:spPr>
        <a:xfrm>
          <a:off x="4886325" y="2162175"/>
          <a:ext cx="933450" cy="361950"/>
        </a:xfrm>
        <a:prstGeom prst="bracketPair">
          <a:avLst/>
        </a:prstGeom>
        <a:ln>
          <a:solidFill>
            <a:srgbClr val="070C1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1047750</xdr:colOff>
          <xdr:row>5</xdr:row>
          <xdr:rowOff>19050</xdr:rowOff>
        </xdr:from>
        <xdr:to>
          <xdr:col>2</xdr:col>
          <xdr:colOff>1533525</xdr:colOff>
          <xdr:row>5</xdr:row>
          <xdr:rowOff>180975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1047750</xdr:colOff>
          <xdr:row>7</xdr:row>
          <xdr:rowOff>9525</xdr:rowOff>
        </xdr:from>
        <xdr:to>
          <xdr:col>2</xdr:col>
          <xdr:colOff>1533525</xdr:colOff>
          <xdr:row>7</xdr:row>
          <xdr:rowOff>171450</xdr:rowOff>
        </xdr:to>
        <xdr:sp macro="" textlink="">
          <xdr:nvSpPr>
            <xdr:cNvPr id="8194" name="Scroll Bar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1047750</xdr:colOff>
          <xdr:row>8</xdr:row>
          <xdr:rowOff>9525</xdr:rowOff>
        </xdr:from>
        <xdr:to>
          <xdr:col>2</xdr:col>
          <xdr:colOff>1533525</xdr:colOff>
          <xdr:row>8</xdr:row>
          <xdr:rowOff>171450</xdr:rowOff>
        </xdr:to>
        <xdr:sp macro="" textlink="">
          <xdr:nvSpPr>
            <xdr:cNvPr id="8195" name="Scroll Bar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1047750</xdr:colOff>
          <xdr:row>9</xdr:row>
          <xdr:rowOff>9525</xdr:rowOff>
        </xdr:from>
        <xdr:to>
          <xdr:col>2</xdr:col>
          <xdr:colOff>1533525</xdr:colOff>
          <xdr:row>9</xdr:row>
          <xdr:rowOff>171450</xdr:rowOff>
        </xdr:to>
        <xdr:sp macro="" textlink="">
          <xdr:nvSpPr>
            <xdr:cNvPr id="8196" name="Scroll Bar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1047750</xdr:colOff>
          <xdr:row>10</xdr:row>
          <xdr:rowOff>9525</xdr:rowOff>
        </xdr:from>
        <xdr:to>
          <xdr:col>2</xdr:col>
          <xdr:colOff>1533525</xdr:colOff>
          <xdr:row>10</xdr:row>
          <xdr:rowOff>171450</xdr:rowOff>
        </xdr:to>
        <xdr:sp macro="" textlink="">
          <xdr:nvSpPr>
            <xdr:cNvPr id="8197" name="Scroll Bar 5" hidden="1">
              <a:extLst>
                <a:ext uri="{63B3BB69-23CF-44E3-9099-C40C66FF867C}">
                  <a14:compatExt spid="_x0000_s8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1047750</xdr:colOff>
          <xdr:row>3</xdr:row>
          <xdr:rowOff>19050</xdr:rowOff>
        </xdr:from>
        <xdr:to>
          <xdr:col>2</xdr:col>
          <xdr:colOff>1533525</xdr:colOff>
          <xdr:row>3</xdr:row>
          <xdr:rowOff>180975</xdr:rowOff>
        </xdr:to>
        <xdr:sp macro="" textlink="">
          <xdr:nvSpPr>
            <xdr:cNvPr id="8198" name="Scroll Bar 6" hidden="1">
              <a:extLst>
                <a:ext uri="{63B3BB69-23CF-44E3-9099-C40C66FF867C}">
                  <a14:compatExt spid="_x0000_s8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1047750</xdr:colOff>
          <xdr:row>4</xdr:row>
          <xdr:rowOff>19050</xdr:rowOff>
        </xdr:from>
        <xdr:to>
          <xdr:col>2</xdr:col>
          <xdr:colOff>1533525</xdr:colOff>
          <xdr:row>4</xdr:row>
          <xdr:rowOff>180975</xdr:rowOff>
        </xdr:to>
        <xdr:sp macro="" textlink="">
          <xdr:nvSpPr>
            <xdr:cNvPr id="8199" name="Scroll Bar 7" hidden="1">
              <a:extLst>
                <a:ext uri="{63B3BB69-23CF-44E3-9099-C40C66FF867C}">
                  <a14:compatExt spid="_x0000_s8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1047750</xdr:colOff>
          <xdr:row>5</xdr:row>
          <xdr:rowOff>19050</xdr:rowOff>
        </xdr:from>
        <xdr:to>
          <xdr:col>2</xdr:col>
          <xdr:colOff>1533525</xdr:colOff>
          <xdr:row>5</xdr:row>
          <xdr:rowOff>180975</xdr:rowOff>
        </xdr:to>
        <xdr:sp macro="" textlink="">
          <xdr:nvSpPr>
            <xdr:cNvPr id="9217" name="Scroll Bar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1047750</xdr:colOff>
          <xdr:row>7</xdr:row>
          <xdr:rowOff>9525</xdr:rowOff>
        </xdr:from>
        <xdr:to>
          <xdr:col>2</xdr:col>
          <xdr:colOff>1533525</xdr:colOff>
          <xdr:row>7</xdr:row>
          <xdr:rowOff>171450</xdr:rowOff>
        </xdr:to>
        <xdr:sp macro="" textlink="">
          <xdr:nvSpPr>
            <xdr:cNvPr id="9218" name="Scroll Bar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1047750</xdr:colOff>
          <xdr:row>8</xdr:row>
          <xdr:rowOff>9525</xdr:rowOff>
        </xdr:from>
        <xdr:to>
          <xdr:col>2</xdr:col>
          <xdr:colOff>1533525</xdr:colOff>
          <xdr:row>8</xdr:row>
          <xdr:rowOff>171450</xdr:rowOff>
        </xdr:to>
        <xdr:sp macro="" textlink="">
          <xdr:nvSpPr>
            <xdr:cNvPr id="9219" name="Scroll Bar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1047750</xdr:colOff>
          <xdr:row>9</xdr:row>
          <xdr:rowOff>9525</xdr:rowOff>
        </xdr:from>
        <xdr:to>
          <xdr:col>2</xdr:col>
          <xdr:colOff>1533525</xdr:colOff>
          <xdr:row>9</xdr:row>
          <xdr:rowOff>171450</xdr:rowOff>
        </xdr:to>
        <xdr:sp macro="" textlink="">
          <xdr:nvSpPr>
            <xdr:cNvPr id="9220" name="Scroll Bar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1047750</xdr:colOff>
          <xdr:row>10</xdr:row>
          <xdr:rowOff>9525</xdr:rowOff>
        </xdr:from>
        <xdr:to>
          <xdr:col>2</xdr:col>
          <xdr:colOff>1533525</xdr:colOff>
          <xdr:row>10</xdr:row>
          <xdr:rowOff>171450</xdr:rowOff>
        </xdr:to>
        <xdr:sp macro="" textlink="">
          <xdr:nvSpPr>
            <xdr:cNvPr id="9221" name="Scroll Bar 5" hidden="1">
              <a:extLst>
                <a:ext uri="{63B3BB69-23CF-44E3-9099-C40C66FF867C}">
                  <a14:compatExt spid="_x0000_s9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1047750</xdr:colOff>
          <xdr:row>3</xdr:row>
          <xdr:rowOff>19050</xdr:rowOff>
        </xdr:from>
        <xdr:to>
          <xdr:col>2</xdr:col>
          <xdr:colOff>1533525</xdr:colOff>
          <xdr:row>3</xdr:row>
          <xdr:rowOff>180975</xdr:rowOff>
        </xdr:to>
        <xdr:sp macro="" textlink="">
          <xdr:nvSpPr>
            <xdr:cNvPr id="9222" name="Scroll Bar 6" hidden="1">
              <a:extLst>
                <a:ext uri="{63B3BB69-23CF-44E3-9099-C40C66FF867C}">
                  <a14:compatExt spid="_x0000_s9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1047750</xdr:colOff>
          <xdr:row>4</xdr:row>
          <xdr:rowOff>19050</xdr:rowOff>
        </xdr:from>
        <xdr:to>
          <xdr:col>2</xdr:col>
          <xdr:colOff>1533525</xdr:colOff>
          <xdr:row>4</xdr:row>
          <xdr:rowOff>180975</xdr:rowOff>
        </xdr:to>
        <xdr:sp macro="" textlink="">
          <xdr:nvSpPr>
            <xdr:cNvPr id="9223" name="Scroll Bar 7" hidden="1">
              <a:extLst>
                <a:ext uri="{63B3BB69-23CF-44E3-9099-C40C66FF867C}">
                  <a14:compatExt spid="_x0000_s9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1257300</xdr:colOff>
          <xdr:row>3</xdr:row>
          <xdr:rowOff>19050</xdr:rowOff>
        </xdr:from>
        <xdr:to>
          <xdr:col>2</xdr:col>
          <xdr:colOff>1743075</xdr:colOff>
          <xdr:row>3</xdr:row>
          <xdr:rowOff>180975</xdr:rowOff>
        </xdr:to>
        <xdr:sp macro="" textlink="">
          <xdr:nvSpPr>
            <xdr:cNvPr id="11265" name="Scroll Bar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1257300</xdr:colOff>
          <xdr:row>4</xdr:row>
          <xdr:rowOff>19050</xdr:rowOff>
        </xdr:from>
        <xdr:to>
          <xdr:col>2</xdr:col>
          <xdr:colOff>1743075</xdr:colOff>
          <xdr:row>4</xdr:row>
          <xdr:rowOff>180975</xdr:rowOff>
        </xdr:to>
        <xdr:sp macro="" textlink="">
          <xdr:nvSpPr>
            <xdr:cNvPr id="11266" name="Scroll Bar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1257300</xdr:colOff>
          <xdr:row>5</xdr:row>
          <xdr:rowOff>19050</xdr:rowOff>
        </xdr:from>
        <xdr:to>
          <xdr:col>2</xdr:col>
          <xdr:colOff>1743075</xdr:colOff>
          <xdr:row>5</xdr:row>
          <xdr:rowOff>180975</xdr:rowOff>
        </xdr:to>
        <xdr:sp macro="" textlink="">
          <xdr:nvSpPr>
            <xdr:cNvPr id="11267" name="Scroll Bar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1257300</xdr:colOff>
          <xdr:row>7</xdr:row>
          <xdr:rowOff>19050</xdr:rowOff>
        </xdr:from>
        <xdr:to>
          <xdr:col>2</xdr:col>
          <xdr:colOff>1743075</xdr:colOff>
          <xdr:row>7</xdr:row>
          <xdr:rowOff>180975</xdr:rowOff>
        </xdr:to>
        <xdr:sp macro="" textlink="">
          <xdr:nvSpPr>
            <xdr:cNvPr id="11268" name="Scroll Bar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1257300</xdr:colOff>
          <xdr:row>8</xdr:row>
          <xdr:rowOff>19050</xdr:rowOff>
        </xdr:from>
        <xdr:to>
          <xdr:col>2</xdr:col>
          <xdr:colOff>1743075</xdr:colOff>
          <xdr:row>8</xdr:row>
          <xdr:rowOff>180975</xdr:rowOff>
        </xdr:to>
        <xdr:sp macro="" textlink="">
          <xdr:nvSpPr>
            <xdr:cNvPr id="11269" name="Scroll Bar 5" hidden="1">
              <a:extLst>
                <a:ext uri="{63B3BB69-23CF-44E3-9099-C40C66FF867C}">
                  <a14:compatExt spid="_x0000_s1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1257300</xdr:colOff>
          <xdr:row>9</xdr:row>
          <xdr:rowOff>19050</xdr:rowOff>
        </xdr:from>
        <xdr:to>
          <xdr:col>2</xdr:col>
          <xdr:colOff>1743075</xdr:colOff>
          <xdr:row>9</xdr:row>
          <xdr:rowOff>180975</xdr:rowOff>
        </xdr:to>
        <xdr:sp macro="" textlink="">
          <xdr:nvSpPr>
            <xdr:cNvPr id="11270" name="Scroll Bar 6" hidden="1">
              <a:extLst>
                <a:ext uri="{63B3BB69-23CF-44E3-9099-C40C66FF867C}">
                  <a14:compatExt spid="_x0000_s11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1257300</xdr:colOff>
          <xdr:row>10</xdr:row>
          <xdr:rowOff>19050</xdr:rowOff>
        </xdr:from>
        <xdr:to>
          <xdr:col>2</xdr:col>
          <xdr:colOff>1743075</xdr:colOff>
          <xdr:row>10</xdr:row>
          <xdr:rowOff>180975</xdr:rowOff>
        </xdr:to>
        <xdr:sp macro="" textlink="">
          <xdr:nvSpPr>
            <xdr:cNvPr id="11271" name="Scroll Bar 7" hidden="1">
              <a:extLst>
                <a:ext uri="{63B3BB69-23CF-44E3-9099-C40C66FF867C}">
                  <a14:compatExt spid="_x0000_s11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2</xdr:row>
          <xdr:rowOff>38100</xdr:rowOff>
        </xdr:from>
        <xdr:to>
          <xdr:col>2</xdr:col>
          <xdr:colOff>1209675</xdr:colOff>
          <xdr:row>2</xdr:row>
          <xdr:rowOff>190500</xdr:rowOff>
        </xdr:to>
        <xdr:sp macro="" textlink="">
          <xdr:nvSpPr>
            <xdr:cNvPr id="65537" name="Scroll Bar 1" hidden="1">
              <a:extLst>
                <a:ext uri="{63B3BB69-23CF-44E3-9099-C40C66FF867C}">
                  <a14:compatExt spid="_x0000_s655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3</xdr:row>
          <xdr:rowOff>19050</xdr:rowOff>
        </xdr:from>
        <xdr:to>
          <xdr:col>2</xdr:col>
          <xdr:colOff>1209675</xdr:colOff>
          <xdr:row>3</xdr:row>
          <xdr:rowOff>180975</xdr:rowOff>
        </xdr:to>
        <xdr:sp macro="" textlink="">
          <xdr:nvSpPr>
            <xdr:cNvPr id="65538" name="Scroll Bar 2" hidden="1">
              <a:extLst>
                <a:ext uri="{63B3BB69-23CF-44E3-9099-C40C66FF867C}">
                  <a14:compatExt spid="_x0000_s655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4</xdr:row>
          <xdr:rowOff>19050</xdr:rowOff>
        </xdr:from>
        <xdr:to>
          <xdr:col>2</xdr:col>
          <xdr:colOff>1209675</xdr:colOff>
          <xdr:row>4</xdr:row>
          <xdr:rowOff>180975</xdr:rowOff>
        </xdr:to>
        <xdr:sp macro="" textlink="">
          <xdr:nvSpPr>
            <xdr:cNvPr id="65539" name="Scroll Bar 3" hidden="1">
              <a:extLst>
                <a:ext uri="{63B3BB69-23CF-44E3-9099-C40C66FF867C}">
                  <a14:compatExt spid="_x0000_s655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14</xdr:row>
          <xdr:rowOff>28575</xdr:rowOff>
        </xdr:from>
        <xdr:to>
          <xdr:col>2</xdr:col>
          <xdr:colOff>838200</xdr:colOff>
          <xdr:row>14</xdr:row>
          <xdr:rowOff>190500</xdr:rowOff>
        </xdr:to>
        <xdr:sp macro="" textlink="">
          <xdr:nvSpPr>
            <xdr:cNvPr id="62465" name="Scroll Bar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3</xdr:row>
          <xdr:rowOff>38100</xdr:rowOff>
        </xdr:from>
        <xdr:to>
          <xdr:col>9</xdr:col>
          <xdr:colOff>723900</xdr:colOff>
          <xdr:row>3</xdr:row>
          <xdr:rowOff>200025</xdr:rowOff>
        </xdr:to>
        <xdr:sp macro="" textlink="">
          <xdr:nvSpPr>
            <xdr:cNvPr id="62466" name="Scroll Bar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3</xdr:row>
          <xdr:rowOff>28575</xdr:rowOff>
        </xdr:from>
        <xdr:to>
          <xdr:col>2</xdr:col>
          <xdr:colOff>838200</xdr:colOff>
          <xdr:row>3</xdr:row>
          <xdr:rowOff>190500</xdr:rowOff>
        </xdr:to>
        <xdr:sp macro="" textlink="">
          <xdr:nvSpPr>
            <xdr:cNvPr id="62467" name="Scroll Bar 3" hidden="1">
              <a:extLst>
                <a:ext uri="{63B3BB69-23CF-44E3-9099-C40C66FF867C}">
                  <a14:compatExt spid="_x0000_s624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4</xdr:row>
          <xdr:rowOff>28575</xdr:rowOff>
        </xdr:from>
        <xdr:to>
          <xdr:col>2</xdr:col>
          <xdr:colOff>838200</xdr:colOff>
          <xdr:row>4</xdr:row>
          <xdr:rowOff>190500</xdr:rowOff>
        </xdr:to>
        <xdr:sp macro="" textlink="">
          <xdr:nvSpPr>
            <xdr:cNvPr id="62468" name="Scroll Bar 4" hidden="1">
              <a:extLst>
                <a:ext uri="{63B3BB69-23CF-44E3-9099-C40C66FF867C}">
                  <a14:compatExt spid="_x0000_s624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5</xdr:row>
          <xdr:rowOff>28575</xdr:rowOff>
        </xdr:from>
        <xdr:to>
          <xdr:col>2</xdr:col>
          <xdr:colOff>838200</xdr:colOff>
          <xdr:row>5</xdr:row>
          <xdr:rowOff>190500</xdr:rowOff>
        </xdr:to>
        <xdr:sp macro="" textlink="">
          <xdr:nvSpPr>
            <xdr:cNvPr id="62469" name="Scroll Bar 5" hidden="1">
              <a:extLst>
                <a:ext uri="{63B3BB69-23CF-44E3-9099-C40C66FF867C}">
                  <a14:compatExt spid="_x0000_s62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6</xdr:row>
          <xdr:rowOff>28575</xdr:rowOff>
        </xdr:from>
        <xdr:to>
          <xdr:col>2</xdr:col>
          <xdr:colOff>838200</xdr:colOff>
          <xdr:row>6</xdr:row>
          <xdr:rowOff>190500</xdr:rowOff>
        </xdr:to>
        <xdr:sp macro="" textlink="">
          <xdr:nvSpPr>
            <xdr:cNvPr id="62470" name="Scroll Bar 6" hidden="1">
              <a:extLst>
                <a:ext uri="{63B3BB69-23CF-44E3-9099-C40C66FF867C}">
                  <a14:compatExt spid="_x0000_s624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7</xdr:row>
          <xdr:rowOff>28575</xdr:rowOff>
        </xdr:from>
        <xdr:to>
          <xdr:col>2</xdr:col>
          <xdr:colOff>838200</xdr:colOff>
          <xdr:row>7</xdr:row>
          <xdr:rowOff>190500</xdr:rowOff>
        </xdr:to>
        <xdr:sp macro="" textlink="">
          <xdr:nvSpPr>
            <xdr:cNvPr id="62471" name="Scroll Bar 7" hidden="1">
              <a:extLst>
                <a:ext uri="{63B3BB69-23CF-44E3-9099-C40C66FF867C}">
                  <a14:compatExt spid="_x0000_s624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8</xdr:row>
          <xdr:rowOff>28575</xdr:rowOff>
        </xdr:from>
        <xdr:to>
          <xdr:col>2</xdr:col>
          <xdr:colOff>838200</xdr:colOff>
          <xdr:row>8</xdr:row>
          <xdr:rowOff>190500</xdr:rowOff>
        </xdr:to>
        <xdr:sp macro="" textlink="">
          <xdr:nvSpPr>
            <xdr:cNvPr id="62472" name="Scroll Bar 8" hidden="1">
              <a:extLst>
                <a:ext uri="{63B3BB69-23CF-44E3-9099-C40C66FF867C}">
                  <a14:compatExt spid="_x0000_s624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9</xdr:row>
          <xdr:rowOff>28575</xdr:rowOff>
        </xdr:from>
        <xdr:to>
          <xdr:col>2</xdr:col>
          <xdr:colOff>838200</xdr:colOff>
          <xdr:row>9</xdr:row>
          <xdr:rowOff>190500</xdr:rowOff>
        </xdr:to>
        <xdr:sp macro="" textlink="">
          <xdr:nvSpPr>
            <xdr:cNvPr id="62473" name="Scroll Bar 9" hidden="1">
              <a:extLst>
                <a:ext uri="{63B3BB69-23CF-44E3-9099-C40C66FF867C}">
                  <a14:compatExt spid="_x0000_s624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10</xdr:row>
          <xdr:rowOff>28575</xdr:rowOff>
        </xdr:from>
        <xdr:to>
          <xdr:col>2</xdr:col>
          <xdr:colOff>838200</xdr:colOff>
          <xdr:row>10</xdr:row>
          <xdr:rowOff>190500</xdr:rowOff>
        </xdr:to>
        <xdr:sp macro="" textlink="">
          <xdr:nvSpPr>
            <xdr:cNvPr id="62474" name="Scroll Bar 10" hidden="1">
              <a:extLst>
                <a:ext uri="{63B3BB69-23CF-44E3-9099-C40C66FF867C}">
                  <a14:compatExt spid="_x0000_s624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11</xdr:row>
          <xdr:rowOff>28575</xdr:rowOff>
        </xdr:from>
        <xdr:to>
          <xdr:col>2</xdr:col>
          <xdr:colOff>838200</xdr:colOff>
          <xdr:row>11</xdr:row>
          <xdr:rowOff>190500</xdr:rowOff>
        </xdr:to>
        <xdr:sp macro="" textlink="">
          <xdr:nvSpPr>
            <xdr:cNvPr id="62475" name="Scroll Bar 11" hidden="1">
              <a:extLst>
                <a:ext uri="{63B3BB69-23CF-44E3-9099-C40C66FF867C}">
                  <a14:compatExt spid="_x0000_s624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12</xdr:row>
          <xdr:rowOff>28575</xdr:rowOff>
        </xdr:from>
        <xdr:to>
          <xdr:col>2</xdr:col>
          <xdr:colOff>838200</xdr:colOff>
          <xdr:row>12</xdr:row>
          <xdr:rowOff>190500</xdr:rowOff>
        </xdr:to>
        <xdr:sp macro="" textlink="">
          <xdr:nvSpPr>
            <xdr:cNvPr id="62476" name="Scroll Bar 12" hidden="1">
              <a:extLst>
                <a:ext uri="{63B3BB69-23CF-44E3-9099-C40C66FF867C}">
                  <a14:compatExt spid="_x0000_s624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13</xdr:row>
          <xdr:rowOff>28575</xdr:rowOff>
        </xdr:from>
        <xdr:to>
          <xdr:col>2</xdr:col>
          <xdr:colOff>838200</xdr:colOff>
          <xdr:row>13</xdr:row>
          <xdr:rowOff>190500</xdr:rowOff>
        </xdr:to>
        <xdr:sp macro="" textlink="">
          <xdr:nvSpPr>
            <xdr:cNvPr id="62477" name="Scroll Bar 13" hidden="1">
              <a:extLst>
                <a:ext uri="{63B3BB69-23CF-44E3-9099-C40C66FF867C}">
                  <a14:compatExt spid="_x0000_s624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8</xdr:row>
      <xdr:rowOff>28575</xdr:rowOff>
    </xdr:from>
    <xdr:to>
      <xdr:col>15</xdr:col>
      <xdr:colOff>66675</xdr:colOff>
      <xdr:row>9</xdr:row>
      <xdr:rowOff>200025</xdr:rowOff>
    </xdr:to>
    <xdr:sp macro="" textlink="">
      <xdr:nvSpPr>
        <xdr:cNvPr id="2" name="Double Bracket 1"/>
        <xdr:cNvSpPr/>
      </xdr:nvSpPr>
      <xdr:spPr>
        <a:xfrm>
          <a:off x="6096000" y="1323975"/>
          <a:ext cx="1285875" cy="295275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11</xdr:col>
      <xdr:colOff>228601</xdr:colOff>
      <xdr:row>11</xdr:row>
      <xdr:rowOff>9525</xdr:rowOff>
    </xdr:from>
    <xdr:to>
      <xdr:col>17</xdr:col>
      <xdr:colOff>28576</xdr:colOff>
      <xdr:row>12</xdr:row>
      <xdr:rowOff>171450</xdr:rowOff>
    </xdr:to>
    <xdr:sp macro="" textlink="">
      <xdr:nvSpPr>
        <xdr:cNvPr id="3" name="Double Bracket 2"/>
        <xdr:cNvSpPr/>
      </xdr:nvSpPr>
      <xdr:spPr>
        <a:xfrm>
          <a:off x="4867276" y="2400300"/>
          <a:ext cx="1371600" cy="352425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904875</xdr:colOff>
          <xdr:row>4</xdr:row>
          <xdr:rowOff>28575</xdr:rowOff>
        </xdr:from>
        <xdr:to>
          <xdr:col>2</xdr:col>
          <xdr:colOff>1390650</xdr:colOff>
          <xdr:row>4</xdr:row>
          <xdr:rowOff>190500</xdr:rowOff>
        </xdr:to>
        <xdr:sp macro="" textlink="">
          <xdr:nvSpPr>
            <xdr:cNvPr id="63489" name="Scroll Bar 1" hidden="1">
              <a:extLst>
                <a:ext uri="{63B3BB69-23CF-44E3-9099-C40C66FF867C}">
                  <a14:compatExt spid="_x0000_s634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904875</xdr:colOff>
          <xdr:row>5</xdr:row>
          <xdr:rowOff>19050</xdr:rowOff>
        </xdr:from>
        <xdr:to>
          <xdr:col>2</xdr:col>
          <xdr:colOff>1390650</xdr:colOff>
          <xdr:row>5</xdr:row>
          <xdr:rowOff>180975</xdr:rowOff>
        </xdr:to>
        <xdr:sp macro="" textlink="">
          <xdr:nvSpPr>
            <xdr:cNvPr id="63490" name="Scroll Bar 2" hidden="1">
              <a:extLst>
                <a:ext uri="{63B3BB69-23CF-44E3-9099-C40C66FF867C}">
                  <a14:compatExt spid="_x0000_s634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904875</xdr:colOff>
          <xdr:row>3</xdr:row>
          <xdr:rowOff>28575</xdr:rowOff>
        </xdr:from>
        <xdr:to>
          <xdr:col>2</xdr:col>
          <xdr:colOff>1390650</xdr:colOff>
          <xdr:row>3</xdr:row>
          <xdr:rowOff>190500</xdr:rowOff>
        </xdr:to>
        <xdr:sp macro="" textlink="">
          <xdr:nvSpPr>
            <xdr:cNvPr id="63491" name="Scroll Bar 3" hidden="1">
              <a:extLst>
                <a:ext uri="{63B3BB69-23CF-44E3-9099-C40C66FF867C}">
                  <a14:compatExt spid="_x0000_s634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904875</xdr:colOff>
          <xdr:row>2</xdr:row>
          <xdr:rowOff>38100</xdr:rowOff>
        </xdr:from>
        <xdr:to>
          <xdr:col>2</xdr:col>
          <xdr:colOff>1390650</xdr:colOff>
          <xdr:row>2</xdr:row>
          <xdr:rowOff>200025</xdr:rowOff>
        </xdr:to>
        <xdr:sp macro="" textlink="">
          <xdr:nvSpPr>
            <xdr:cNvPr id="63492" name="Scroll Bar 4" hidden="1">
              <a:extLst>
                <a:ext uri="{63B3BB69-23CF-44E3-9099-C40C66FF867C}">
                  <a14:compatExt spid="_x0000_s634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257175</xdr:colOff>
      <xdr:row>8</xdr:row>
      <xdr:rowOff>28575</xdr:rowOff>
    </xdr:from>
    <xdr:to>
      <xdr:col>14</xdr:col>
      <xdr:colOff>57150</xdr:colOff>
      <xdr:row>9</xdr:row>
      <xdr:rowOff>200025</xdr:rowOff>
    </xdr:to>
    <xdr:sp macro="" textlink="">
      <xdr:nvSpPr>
        <xdr:cNvPr id="2" name="Double Bracket 1"/>
        <xdr:cNvSpPr/>
      </xdr:nvSpPr>
      <xdr:spPr>
        <a:xfrm>
          <a:off x="5076825" y="1800225"/>
          <a:ext cx="514350" cy="400050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11</xdr:col>
      <xdr:colOff>257175</xdr:colOff>
      <xdr:row>11</xdr:row>
      <xdr:rowOff>0</xdr:rowOff>
    </xdr:from>
    <xdr:to>
      <xdr:col>16</xdr:col>
      <xdr:colOff>19050</xdr:colOff>
      <xdr:row>12</xdr:row>
      <xdr:rowOff>161925</xdr:rowOff>
    </xdr:to>
    <xdr:sp macro="" textlink="">
      <xdr:nvSpPr>
        <xdr:cNvPr id="3" name="Double Bracket 2"/>
        <xdr:cNvSpPr/>
      </xdr:nvSpPr>
      <xdr:spPr>
        <a:xfrm>
          <a:off x="5076825" y="2419350"/>
          <a:ext cx="1295400" cy="352425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904875</xdr:colOff>
          <xdr:row>4</xdr:row>
          <xdr:rowOff>28575</xdr:rowOff>
        </xdr:from>
        <xdr:to>
          <xdr:col>2</xdr:col>
          <xdr:colOff>1390650</xdr:colOff>
          <xdr:row>4</xdr:row>
          <xdr:rowOff>190500</xdr:rowOff>
        </xdr:to>
        <xdr:sp macro="" textlink="">
          <xdr:nvSpPr>
            <xdr:cNvPr id="64513" name="Scroll Bar 1" hidden="1">
              <a:extLst>
                <a:ext uri="{63B3BB69-23CF-44E3-9099-C40C66FF867C}">
                  <a14:compatExt spid="_x0000_s645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904875</xdr:colOff>
          <xdr:row>5</xdr:row>
          <xdr:rowOff>19050</xdr:rowOff>
        </xdr:from>
        <xdr:to>
          <xdr:col>2</xdr:col>
          <xdr:colOff>1390650</xdr:colOff>
          <xdr:row>5</xdr:row>
          <xdr:rowOff>180975</xdr:rowOff>
        </xdr:to>
        <xdr:sp macro="" textlink="">
          <xdr:nvSpPr>
            <xdr:cNvPr id="64514" name="Scroll Bar 2" hidden="1">
              <a:extLst>
                <a:ext uri="{63B3BB69-23CF-44E3-9099-C40C66FF867C}">
                  <a14:compatExt spid="_x0000_s645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904875</xdr:colOff>
          <xdr:row>3</xdr:row>
          <xdr:rowOff>28575</xdr:rowOff>
        </xdr:from>
        <xdr:to>
          <xdr:col>2</xdr:col>
          <xdr:colOff>1390650</xdr:colOff>
          <xdr:row>3</xdr:row>
          <xdr:rowOff>190500</xdr:rowOff>
        </xdr:to>
        <xdr:sp macro="" textlink="">
          <xdr:nvSpPr>
            <xdr:cNvPr id="64515" name="Scroll Bar 3" hidden="1">
              <a:extLst>
                <a:ext uri="{63B3BB69-23CF-44E3-9099-C40C66FF867C}">
                  <a14:compatExt spid="_x0000_s645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904875</xdr:colOff>
          <xdr:row>2</xdr:row>
          <xdr:rowOff>38100</xdr:rowOff>
        </xdr:from>
        <xdr:to>
          <xdr:col>2</xdr:col>
          <xdr:colOff>1390650</xdr:colOff>
          <xdr:row>2</xdr:row>
          <xdr:rowOff>200025</xdr:rowOff>
        </xdr:to>
        <xdr:sp macro="" textlink="">
          <xdr:nvSpPr>
            <xdr:cNvPr id="64516" name="Scroll Bar 4" hidden="1">
              <a:extLst>
                <a:ext uri="{63B3BB69-23CF-44E3-9099-C40C66FF867C}">
                  <a14:compatExt spid="_x0000_s645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904875</xdr:colOff>
          <xdr:row>6</xdr:row>
          <xdr:rowOff>0</xdr:rowOff>
        </xdr:from>
        <xdr:to>
          <xdr:col>2</xdr:col>
          <xdr:colOff>1390650</xdr:colOff>
          <xdr:row>6</xdr:row>
          <xdr:rowOff>161925</xdr:rowOff>
        </xdr:to>
        <xdr:sp macro="" textlink="">
          <xdr:nvSpPr>
            <xdr:cNvPr id="64517" name="Scroll Bar 5" hidden="1">
              <a:extLst>
                <a:ext uri="{63B3BB69-23CF-44E3-9099-C40C66FF867C}">
                  <a14:compatExt spid="_x0000_s645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5</xdr:row>
          <xdr:rowOff>9525</xdr:rowOff>
        </xdr:from>
        <xdr:to>
          <xdr:col>3</xdr:col>
          <xdr:colOff>1247775</xdr:colOff>
          <xdr:row>5</xdr:row>
          <xdr:rowOff>171450</xdr:rowOff>
        </xdr:to>
        <xdr:sp macro="" textlink="">
          <xdr:nvSpPr>
            <xdr:cNvPr id="40961" name="Scroll Bar 1" hidden="1">
              <a:extLst>
                <a:ext uri="{63B3BB69-23CF-44E3-9099-C40C66FF867C}">
                  <a14:compatExt spid="_x0000_s409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6</xdr:row>
          <xdr:rowOff>171450</xdr:rowOff>
        </xdr:from>
        <xdr:to>
          <xdr:col>3</xdr:col>
          <xdr:colOff>1247775</xdr:colOff>
          <xdr:row>7</xdr:row>
          <xdr:rowOff>142875</xdr:rowOff>
        </xdr:to>
        <xdr:sp macro="" textlink="">
          <xdr:nvSpPr>
            <xdr:cNvPr id="40963" name="Scroll Bar 3" hidden="1">
              <a:extLst>
                <a:ext uri="{63B3BB69-23CF-44E3-9099-C40C66FF867C}">
                  <a14:compatExt spid="_x0000_s409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2</xdr:row>
          <xdr:rowOff>47625</xdr:rowOff>
        </xdr:from>
        <xdr:to>
          <xdr:col>3</xdr:col>
          <xdr:colOff>1247775</xdr:colOff>
          <xdr:row>2</xdr:row>
          <xdr:rowOff>209550</xdr:rowOff>
        </xdr:to>
        <xdr:sp macro="" textlink="">
          <xdr:nvSpPr>
            <xdr:cNvPr id="40964" name="Scroll Bar 4" hidden="1">
              <a:extLst>
                <a:ext uri="{63B3BB69-23CF-44E3-9099-C40C66FF867C}">
                  <a14:compatExt spid="_x0000_s409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3</xdr:row>
          <xdr:rowOff>38100</xdr:rowOff>
        </xdr:from>
        <xdr:to>
          <xdr:col>3</xdr:col>
          <xdr:colOff>1247775</xdr:colOff>
          <xdr:row>3</xdr:row>
          <xdr:rowOff>200025</xdr:rowOff>
        </xdr:to>
        <xdr:sp macro="" textlink="">
          <xdr:nvSpPr>
            <xdr:cNvPr id="40965" name="Scroll Bar 5" hidden="1">
              <a:extLst>
                <a:ext uri="{63B3BB69-23CF-44E3-9099-C40C66FF867C}">
                  <a14:compatExt spid="_x0000_s409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1181100</xdr:colOff>
          <xdr:row>2</xdr:row>
          <xdr:rowOff>28575</xdr:rowOff>
        </xdr:from>
        <xdr:to>
          <xdr:col>2</xdr:col>
          <xdr:colOff>1666875</xdr:colOff>
          <xdr:row>2</xdr:row>
          <xdr:rowOff>190500</xdr:rowOff>
        </xdr:to>
        <xdr:sp macro="" textlink="">
          <xdr:nvSpPr>
            <xdr:cNvPr id="30721" name="Scroll Bar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1181100</xdr:colOff>
          <xdr:row>3</xdr:row>
          <xdr:rowOff>28575</xdr:rowOff>
        </xdr:from>
        <xdr:to>
          <xdr:col>2</xdr:col>
          <xdr:colOff>1666875</xdr:colOff>
          <xdr:row>3</xdr:row>
          <xdr:rowOff>190500</xdr:rowOff>
        </xdr:to>
        <xdr:sp macro="" textlink="">
          <xdr:nvSpPr>
            <xdr:cNvPr id="30722" name="Scroll Bar 2" hidden="1">
              <a:extLst>
                <a:ext uri="{63B3BB69-23CF-44E3-9099-C40C66FF867C}">
                  <a14:compatExt spid="_x0000_s307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1181100</xdr:colOff>
          <xdr:row>4</xdr:row>
          <xdr:rowOff>28575</xdr:rowOff>
        </xdr:from>
        <xdr:to>
          <xdr:col>2</xdr:col>
          <xdr:colOff>1666875</xdr:colOff>
          <xdr:row>4</xdr:row>
          <xdr:rowOff>190500</xdr:rowOff>
        </xdr:to>
        <xdr:sp macro="" textlink="">
          <xdr:nvSpPr>
            <xdr:cNvPr id="30723" name="Scroll Bar 3" hidden="1">
              <a:extLst>
                <a:ext uri="{63B3BB69-23CF-44E3-9099-C40C66FF867C}">
                  <a14:compatExt spid="_x0000_s307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209550</xdr:colOff>
      <xdr:row>12</xdr:row>
      <xdr:rowOff>0</xdr:rowOff>
    </xdr:from>
    <xdr:to>
      <xdr:col>13</xdr:col>
      <xdr:colOff>38100</xdr:colOff>
      <xdr:row>12</xdr:row>
      <xdr:rowOff>142875</xdr:rowOff>
    </xdr:to>
    <xdr:sp macro="" textlink="">
      <xdr:nvSpPr>
        <xdr:cNvPr id="2" name="TextBox 1"/>
        <xdr:cNvSpPr txBox="1"/>
      </xdr:nvSpPr>
      <xdr:spPr>
        <a:xfrm>
          <a:off x="5305425" y="2724150"/>
          <a:ext cx="266700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id-ID" sz="800"/>
            <a:t>n</a:t>
          </a:r>
        </a:p>
      </xdr:txBody>
    </xdr:sp>
    <xdr:clientData/>
  </xdr:twoCellAnchor>
  <xdr:twoCellAnchor>
    <xdr:from>
      <xdr:col>11</xdr:col>
      <xdr:colOff>180974</xdr:colOff>
      <xdr:row>13</xdr:row>
      <xdr:rowOff>9525</xdr:rowOff>
    </xdr:from>
    <xdr:to>
      <xdr:col>13</xdr:col>
      <xdr:colOff>123825</xdr:colOff>
      <xdr:row>14</xdr:row>
      <xdr:rowOff>57150</xdr:rowOff>
    </xdr:to>
    <xdr:sp macro="" textlink="">
      <xdr:nvSpPr>
        <xdr:cNvPr id="3" name="TextBox 2"/>
        <xdr:cNvSpPr txBox="1"/>
      </xdr:nvSpPr>
      <xdr:spPr>
        <a:xfrm>
          <a:off x="5276849" y="2990850"/>
          <a:ext cx="38100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id-ID" sz="800"/>
            <a:t>i=1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3</xdr:row>
          <xdr:rowOff>9525</xdr:rowOff>
        </xdr:from>
        <xdr:to>
          <xdr:col>3</xdr:col>
          <xdr:colOff>838200</xdr:colOff>
          <xdr:row>3</xdr:row>
          <xdr:rowOff>171450</xdr:rowOff>
        </xdr:to>
        <xdr:sp macro="" textlink="">
          <xdr:nvSpPr>
            <xdr:cNvPr id="31745" name="Scroll Bar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2</xdr:row>
          <xdr:rowOff>28575</xdr:rowOff>
        </xdr:from>
        <xdr:to>
          <xdr:col>3</xdr:col>
          <xdr:colOff>838200</xdr:colOff>
          <xdr:row>2</xdr:row>
          <xdr:rowOff>190500</xdr:rowOff>
        </xdr:to>
        <xdr:sp macro="" textlink="">
          <xdr:nvSpPr>
            <xdr:cNvPr id="31746" name="Scroll Bar 2" hidden="1">
              <a:extLst>
                <a:ext uri="{63B3BB69-23CF-44E3-9099-C40C66FF867C}">
                  <a14:compatExt spid="_x0000_s317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4</xdr:row>
          <xdr:rowOff>9525</xdr:rowOff>
        </xdr:from>
        <xdr:to>
          <xdr:col>3</xdr:col>
          <xdr:colOff>838200</xdr:colOff>
          <xdr:row>4</xdr:row>
          <xdr:rowOff>171450</xdr:rowOff>
        </xdr:to>
        <xdr:sp macro="" textlink="">
          <xdr:nvSpPr>
            <xdr:cNvPr id="31747" name="Scroll Bar 3" hidden="1">
              <a:extLst>
                <a:ext uri="{63B3BB69-23CF-44E3-9099-C40C66FF867C}">
                  <a14:compatExt spid="_x0000_s317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5</xdr:row>
          <xdr:rowOff>9525</xdr:rowOff>
        </xdr:from>
        <xdr:to>
          <xdr:col>3</xdr:col>
          <xdr:colOff>838200</xdr:colOff>
          <xdr:row>5</xdr:row>
          <xdr:rowOff>171450</xdr:rowOff>
        </xdr:to>
        <xdr:sp macro="" textlink="">
          <xdr:nvSpPr>
            <xdr:cNvPr id="31748" name="Scroll Bar 4" hidden="1">
              <a:extLst>
                <a:ext uri="{63B3BB69-23CF-44E3-9099-C40C66FF867C}">
                  <a14:compatExt spid="_x0000_s317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6</xdr:row>
          <xdr:rowOff>9525</xdr:rowOff>
        </xdr:from>
        <xdr:to>
          <xdr:col>3</xdr:col>
          <xdr:colOff>838200</xdr:colOff>
          <xdr:row>6</xdr:row>
          <xdr:rowOff>171450</xdr:rowOff>
        </xdr:to>
        <xdr:sp macro="" textlink="">
          <xdr:nvSpPr>
            <xdr:cNvPr id="31749" name="Scroll Bar 5" hidden="1">
              <a:extLst>
                <a:ext uri="{63B3BB69-23CF-44E3-9099-C40C66FF867C}">
                  <a14:compatExt spid="_x0000_s317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7</xdr:row>
          <xdr:rowOff>9525</xdr:rowOff>
        </xdr:from>
        <xdr:to>
          <xdr:col>3</xdr:col>
          <xdr:colOff>838200</xdr:colOff>
          <xdr:row>7</xdr:row>
          <xdr:rowOff>171450</xdr:rowOff>
        </xdr:to>
        <xdr:sp macro="" textlink="">
          <xdr:nvSpPr>
            <xdr:cNvPr id="31750" name="Scroll Bar 6" hidden="1">
              <a:extLst>
                <a:ext uri="{63B3BB69-23CF-44E3-9099-C40C66FF867C}">
                  <a14:compatExt spid="_x0000_s317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8</xdr:row>
          <xdr:rowOff>19050</xdr:rowOff>
        </xdr:from>
        <xdr:to>
          <xdr:col>3</xdr:col>
          <xdr:colOff>838200</xdr:colOff>
          <xdr:row>8</xdr:row>
          <xdr:rowOff>180975</xdr:rowOff>
        </xdr:to>
        <xdr:sp macro="" textlink="">
          <xdr:nvSpPr>
            <xdr:cNvPr id="31751" name="Scroll Bar 7" hidden="1">
              <a:extLst>
                <a:ext uri="{63B3BB69-23CF-44E3-9099-C40C66FF867C}">
                  <a14:compatExt spid="_x0000_s317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28575</xdr:colOff>
      <xdr:row>9</xdr:row>
      <xdr:rowOff>1</xdr:rowOff>
    </xdr:from>
    <xdr:to>
      <xdr:col>23</xdr:col>
      <xdr:colOff>0</xdr:colOff>
      <xdr:row>10</xdr:row>
      <xdr:rowOff>209551</xdr:rowOff>
    </xdr:to>
    <xdr:grpSp>
      <xdr:nvGrpSpPr>
        <xdr:cNvPr id="7" name="Group 6"/>
        <xdr:cNvGrpSpPr/>
      </xdr:nvGrpSpPr>
      <xdr:grpSpPr>
        <a:xfrm>
          <a:off x="8248650" y="1838326"/>
          <a:ext cx="133350" cy="400050"/>
          <a:chOff x="8943975" y="1828801"/>
          <a:chExt cx="133350" cy="400050"/>
        </a:xfrm>
      </xdr:grpSpPr>
      <xdr:cxnSp macro="">
        <xdr:nvCxnSpPr>
          <xdr:cNvPr id="3" name="Straight Connector 2"/>
          <xdr:cNvCxnSpPr/>
        </xdr:nvCxnSpPr>
        <xdr:spPr>
          <a:xfrm>
            <a:off x="8943975" y="2149476"/>
            <a:ext cx="51955" cy="7112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" name="Straight Connector 4"/>
          <xdr:cNvCxnSpPr/>
        </xdr:nvCxnSpPr>
        <xdr:spPr>
          <a:xfrm flipH="1">
            <a:off x="8999393" y="1828801"/>
            <a:ext cx="77932" cy="4000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485774</xdr:colOff>
      <xdr:row>20</xdr:row>
      <xdr:rowOff>0</xdr:rowOff>
    </xdr:from>
    <xdr:to>
      <xdr:col>8</xdr:col>
      <xdr:colOff>180974</xdr:colOff>
      <xdr:row>22</xdr:row>
      <xdr:rowOff>0</xdr:rowOff>
    </xdr:to>
    <xdr:grpSp>
      <xdr:nvGrpSpPr>
        <xdr:cNvPr id="8" name="Group 7"/>
        <xdr:cNvGrpSpPr/>
      </xdr:nvGrpSpPr>
      <xdr:grpSpPr>
        <a:xfrm>
          <a:off x="3981449" y="3905250"/>
          <a:ext cx="180975" cy="409575"/>
          <a:chOff x="8943975" y="1828801"/>
          <a:chExt cx="133350" cy="400050"/>
        </a:xfrm>
      </xdr:grpSpPr>
      <xdr:cxnSp macro="">
        <xdr:nvCxnSpPr>
          <xdr:cNvPr id="9" name="Straight Connector 8"/>
          <xdr:cNvCxnSpPr/>
        </xdr:nvCxnSpPr>
        <xdr:spPr>
          <a:xfrm>
            <a:off x="8943975" y="2149476"/>
            <a:ext cx="51955" cy="7112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Straight Connector 9"/>
          <xdr:cNvCxnSpPr/>
        </xdr:nvCxnSpPr>
        <xdr:spPr>
          <a:xfrm flipH="1">
            <a:off x="8999393" y="1828801"/>
            <a:ext cx="77932" cy="4000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</xdr:row>
          <xdr:rowOff>28575</xdr:rowOff>
        </xdr:from>
        <xdr:to>
          <xdr:col>2</xdr:col>
          <xdr:colOff>523875</xdr:colOff>
          <xdr:row>2</xdr:row>
          <xdr:rowOff>190500</xdr:rowOff>
        </xdr:to>
        <xdr:sp macro="" textlink="">
          <xdr:nvSpPr>
            <xdr:cNvPr id="74753" name="Scroll Bar 1" hidden="1">
              <a:extLst>
                <a:ext uri="{63B3BB69-23CF-44E3-9099-C40C66FF867C}">
                  <a14:compatExt spid="_x0000_s747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</xdr:row>
          <xdr:rowOff>19050</xdr:rowOff>
        </xdr:from>
        <xdr:to>
          <xdr:col>2</xdr:col>
          <xdr:colOff>523875</xdr:colOff>
          <xdr:row>3</xdr:row>
          <xdr:rowOff>180975</xdr:rowOff>
        </xdr:to>
        <xdr:sp macro="" textlink="">
          <xdr:nvSpPr>
            <xdr:cNvPr id="74756" name="Scroll Bar 4" hidden="1">
              <a:extLst>
                <a:ext uri="{63B3BB69-23CF-44E3-9099-C40C66FF867C}">
                  <a14:compatExt spid="_x0000_s747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4</xdr:row>
          <xdr:rowOff>19050</xdr:rowOff>
        </xdr:from>
        <xdr:to>
          <xdr:col>2</xdr:col>
          <xdr:colOff>523875</xdr:colOff>
          <xdr:row>4</xdr:row>
          <xdr:rowOff>180975</xdr:rowOff>
        </xdr:to>
        <xdr:sp macro="" textlink="">
          <xdr:nvSpPr>
            <xdr:cNvPr id="74757" name="Scroll Bar 5" hidden="1">
              <a:extLst>
                <a:ext uri="{63B3BB69-23CF-44E3-9099-C40C66FF867C}">
                  <a14:compatExt spid="_x0000_s747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5</xdr:row>
          <xdr:rowOff>9525</xdr:rowOff>
        </xdr:from>
        <xdr:to>
          <xdr:col>2</xdr:col>
          <xdr:colOff>523875</xdr:colOff>
          <xdr:row>5</xdr:row>
          <xdr:rowOff>171450</xdr:rowOff>
        </xdr:to>
        <xdr:sp macro="" textlink="">
          <xdr:nvSpPr>
            <xdr:cNvPr id="74758" name="Scroll Bar 6" hidden="1">
              <a:extLst>
                <a:ext uri="{63B3BB69-23CF-44E3-9099-C40C66FF867C}">
                  <a14:compatExt spid="_x0000_s747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2</xdr:row>
          <xdr:rowOff>38100</xdr:rowOff>
        </xdr:from>
        <xdr:to>
          <xdr:col>2</xdr:col>
          <xdr:colOff>1219200</xdr:colOff>
          <xdr:row>2</xdr:row>
          <xdr:rowOff>200025</xdr:rowOff>
        </xdr:to>
        <xdr:sp macro="" textlink="">
          <xdr:nvSpPr>
            <xdr:cNvPr id="32769" name="Scroll Bar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3</xdr:row>
          <xdr:rowOff>28575</xdr:rowOff>
        </xdr:from>
        <xdr:to>
          <xdr:col>2</xdr:col>
          <xdr:colOff>1219200</xdr:colOff>
          <xdr:row>3</xdr:row>
          <xdr:rowOff>190500</xdr:rowOff>
        </xdr:to>
        <xdr:sp macro="" textlink="">
          <xdr:nvSpPr>
            <xdr:cNvPr id="32770" name="Scroll Bar 2" hidden="1">
              <a:extLst>
                <a:ext uri="{63B3BB69-23CF-44E3-9099-C40C66FF867C}">
                  <a14:compatExt spid="_x0000_s327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4</xdr:row>
          <xdr:rowOff>28575</xdr:rowOff>
        </xdr:from>
        <xdr:to>
          <xdr:col>2</xdr:col>
          <xdr:colOff>1219200</xdr:colOff>
          <xdr:row>4</xdr:row>
          <xdr:rowOff>190500</xdr:rowOff>
        </xdr:to>
        <xdr:sp macro="" textlink="">
          <xdr:nvSpPr>
            <xdr:cNvPr id="32771" name="Scroll Bar 3" hidden="1">
              <a:extLst>
                <a:ext uri="{63B3BB69-23CF-44E3-9099-C40C66FF867C}">
                  <a14:compatExt spid="_x0000_s327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5</xdr:row>
          <xdr:rowOff>28575</xdr:rowOff>
        </xdr:from>
        <xdr:to>
          <xdr:col>2</xdr:col>
          <xdr:colOff>1219200</xdr:colOff>
          <xdr:row>5</xdr:row>
          <xdr:rowOff>190500</xdr:rowOff>
        </xdr:to>
        <xdr:sp macro="" textlink="">
          <xdr:nvSpPr>
            <xdr:cNvPr id="32772" name="Scroll Bar 4" hidden="1">
              <a:extLst>
                <a:ext uri="{63B3BB69-23CF-44E3-9099-C40C66FF867C}">
                  <a14:compatExt spid="_x0000_s327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6</xdr:row>
          <xdr:rowOff>28575</xdr:rowOff>
        </xdr:from>
        <xdr:to>
          <xdr:col>2</xdr:col>
          <xdr:colOff>1219200</xdr:colOff>
          <xdr:row>6</xdr:row>
          <xdr:rowOff>190500</xdr:rowOff>
        </xdr:to>
        <xdr:sp macro="" textlink="">
          <xdr:nvSpPr>
            <xdr:cNvPr id="32773" name="Scroll Bar 5" hidden="1">
              <a:extLst>
                <a:ext uri="{63B3BB69-23CF-44E3-9099-C40C66FF867C}">
                  <a14:compatExt spid="_x0000_s327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7</xdr:row>
          <xdr:rowOff>19050</xdr:rowOff>
        </xdr:from>
        <xdr:to>
          <xdr:col>2</xdr:col>
          <xdr:colOff>1219200</xdr:colOff>
          <xdr:row>7</xdr:row>
          <xdr:rowOff>180975</xdr:rowOff>
        </xdr:to>
        <xdr:sp macro="" textlink="">
          <xdr:nvSpPr>
            <xdr:cNvPr id="32774" name="Scroll Bar 6" hidden="1">
              <a:extLst>
                <a:ext uri="{63B3BB69-23CF-44E3-9099-C40C66FF867C}">
                  <a14:compatExt spid="_x0000_s327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581025</xdr:colOff>
      <xdr:row>8</xdr:row>
      <xdr:rowOff>95250</xdr:rowOff>
    </xdr:from>
    <xdr:to>
      <xdr:col>29</xdr:col>
      <xdr:colOff>504825</xdr:colOff>
      <xdr:row>9</xdr:row>
      <xdr:rowOff>66675</xdr:rowOff>
    </xdr:to>
    <xdr:sp macro="" textlink="">
      <xdr:nvSpPr>
        <xdr:cNvPr id="2" name="Rectangle 4"/>
        <xdr:cNvSpPr>
          <a:spLocks noChangeArrowheads="1"/>
        </xdr:cNvSpPr>
      </xdr:nvSpPr>
      <xdr:spPr bwMode="auto">
        <a:xfrm>
          <a:off x="19478625" y="1819275"/>
          <a:ext cx="1143000" cy="180975"/>
        </a:xfrm>
        <a:prstGeom prst="rect">
          <a:avLst/>
        </a:prstGeom>
        <a:gradFill rotWithShape="0">
          <a:gsLst>
            <a:gs pos="0">
              <a:srgbClr val="FFFFFF"/>
            </a:gs>
            <a:gs pos="100000">
              <a:srgbClr val="FFFFFF">
                <a:gamma/>
                <a:shade val="54510"/>
                <a:invGamma/>
              </a:srgbClr>
            </a:gs>
          </a:gsLst>
          <a:path path="shape">
            <a:fillToRect l="50000" t="50000" r="50000" b="50000"/>
          </a:path>
        </a:gradFill>
        <a:ln w="9525">
          <a:noFill/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3</xdr:row>
          <xdr:rowOff>19050</xdr:rowOff>
        </xdr:from>
        <xdr:to>
          <xdr:col>2</xdr:col>
          <xdr:colOff>981075</xdr:colOff>
          <xdr:row>3</xdr:row>
          <xdr:rowOff>171450</xdr:rowOff>
        </xdr:to>
        <xdr:sp macro="" textlink="">
          <xdr:nvSpPr>
            <xdr:cNvPr id="79876" name="Scroll Bar 4" hidden="1">
              <a:extLst>
                <a:ext uri="{63B3BB69-23CF-44E3-9099-C40C66FF867C}">
                  <a14:compatExt spid="_x0000_s798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4</xdr:row>
          <xdr:rowOff>19050</xdr:rowOff>
        </xdr:from>
        <xdr:to>
          <xdr:col>2</xdr:col>
          <xdr:colOff>981075</xdr:colOff>
          <xdr:row>4</xdr:row>
          <xdr:rowOff>171450</xdr:rowOff>
        </xdr:to>
        <xdr:sp macro="" textlink="">
          <xdr:nvSpPr>
            <xdr:cNvPr id="79877" name="Scroll Bar 5" hidden="1">
              <a:extLst>
                <a:ext uri="{63B3BB69-23CF-44E3-9099-C40C66FF867C}">
                  <a14:compatExt spid="_x0000_s798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5</xdr:row>
          <xdr:rowOff>19050</xdr:rowOff>
        </xdr:from>
        <xdr:to>
          <xdr:col>2</xdr:col>
          <xdr:colOff>981075</xdr:colOff>
          <xdr:row>5</xdr:row>
          <xdr:rowOff>171450</xdr:rowOff>
        </xdr:to>
        <xdr:sp macro="" textlink="">
          <xdr:nvSpPr>
            <xdr:cNvPr id="79878" name="Scroll Bar 6" hidden="1">
              <a:extLst>
                <a:ext uri="{63B3BB69-23CF-44E3-9099-C40C66FF867C}">
                  <a14:compatExt spid="_x0000_s798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7</xdr:row>
          <xdr:rowOff>19050</xdr:rowOff>
        </xdr:from>
        <xdr:to>
          <xdr:col>2</xdr:col>
          <xdr:colOff>981075</xdr:colOff>
          <xdr:row>7</xdr:row>
          <xdr:rowOff>171450</xdr:rowOff>
        </xdr:to>
        <xdr:sp macro="" textlink="">
          <xdr:nvSpPr>
            <xdr:cNvPr id="79879" name="Scroll Bar 7" hidden="1">
              <a:extLst>
                <a:ext uri="{63B3BB69-23CF-44E3-9099-C40C66FF867C}">
                  <a14:compatExt spid="_x0000_s798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904875</xdr:colOff>
          <xdr:row>4</xdr:row>
          <xdr:rowOff>28575</xdr:rowOff>
        </xdr:from>
        <xdr:to>
          <xdr:col>4</xdr:col>
          <xdr:colOff>1362075</xdr:colOff>
          <xdr:row>4</xdr:row>
          <xdr:rowOff>180975</xdr:rowOff>
        </xdr:to>
        <xdr:sp macro="" textlink="">
          <xdr:nvSpPr>
            <xdr:cNvPr id="79883" name="Scroll Bar 11" hidden="1">
              <a:extLst>
                <a:ext uri="{63B3BB69-23CF-44E3-9099-C40C66FF867C}">
                  <a14:compatExt spid="_x0000_s798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904875</xdr:colOff>
          <xdr:row>5</xdr:row>
          <xdr:rowOff>28575</xdr:rowOff>
        </xdr:from>
        <xdr:to>
          <xdr:col>4</xdr:col>
          <xdr:colOff>1362075</xdr:colOff>
          <xdr:row>5</xdr:row>
          <xdr:rowOff>180975</xdr:rowOff>
        </xdr:to>
        <xdr:sp macro="" textlink="">
          <xdr:nvSpPr>
            <xdr:cNvPr id="79884" name="Scroll Bar 12" hidden="1">
              <a:extLst>
                <a:ext uri="{63B3BB69-23CF-44E3-9099-C40C66FF867C}">
                  <a14:compatExt spid="_x0000_s798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904875</xdr:colOff>
          <xdr:row>6</xdr:row>
          <xdr:rowOff>28575</xdr:rowOff>
        </xdr:from>
        <xdr:to>
          <xdr:col>4</xdr:col>
          <xdr:colOff>1362075</xdr:colOff>
          <xdr:row>6</xdr:row>
          <xdr:rowOff>180975</xdr:rowOff>
        </xdr:to>
        <xdr:sp macro="" textlink="">
          <xdr:nvSpPr>
            <xdr:cNvPr id="79885" name="Scroll Bar 13" hidden="1">
              <a:extLst>
                <a:ext uri="{63B3BB69-23CF-44E3-9099-C40C66FF867C}">
                  <a14:compatExt spid="_x0000_s798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904875</xdr:colOff>
          <xdr:row>7</xdr:row>
          <xdr:rowOff>28575</xdr:rowOff>
        </xdr:from>
        <xdr:to>
          <xdr:col>4</xdr:col>
          <xdr:colOff>1362075</xdr:colOff>
          <xdr:row>7</xdr:row>
          <xdr:rowOff>180975</xdr:rowOff>
        </xdr:to>
        <xdr:sp macro="" textlink="">
          <xdr:nvSpPr>
            <xdr:cNvPr id="79886" name="Scroll Bar 14" hidden="1">
              <a:extLst>
                <a:ext uri="{63B3BB69-23CF-44E3-9099-C40C66FF867C}">
                  <a14:compatExt spid="_x0000_s798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904875</xdr:colOff>
          <xdr:row>8</xdr:row>
          <xdr:rowOff>28575</xdr:rowOff>
        </xdr:from>
        <xdr:to>
          <xdr:col>4</xdr:col>
          <xdr:colOff>1362075</xdr:colOff>
          <xdr:row>8</xdr:row>
          <xdr:rowOff>180975</xdr:rowOff>
        </xdr:to>
        <xdr:sp macro="" textlink="">
          <xdr:nvSpPr>
            <xdr:cNvPr id="79887" name="Scroll Bar 15" hidden="1">
              <a:extLst>
                <a:ext uri="{63B3BB69-23CF-44E3-9099-C40C66FF867C}">
                  <a14:compatExt spid="_x0000_s798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10</xdr:row>
          <xdr:rowOff>200025</xdr:rowOff>
        </xdr:from>
        <xdr:to>
          <xdr:col>4</xdr:col>
          <xdr:colOff>714375</xdr:colOff>
          <xdr:row>12</xdr:row>
          <xdr:rowOff>0</xdr:rowOff>
        </xdr:to>
        <xdr:sp macro="" textlink="">
          <xdr:nvSpPr>
            <xdr:cNvPr id="79890" name="Option Button 18" hidden="1">
              <a:extLst>
                <a:ext uri="{63B3BB69-23CF-44E3-9099-C40C66FF867C}">
                  <a14:compatExt spid="_x0000_s798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11</xdr:row>
          <xdr:rowOff>190500</xdr:rowOff>
        </xdr:from>
        <xdr:to>
          <xdr:col>4</xdr:col>
          <xdr:colOff>714375</xdr:colOff>
          <xdr:row>13</xdr:row>
          <xdr:rowOff>9525</xdr:rowOff>
        </xdr:to>
        <xdr:sp macro="" textlink="">
          <xdr:nvSpPr>
            <xdr:cNvPr id="79891" name="Option Button 19" hidden="1">
              <a:extLst>
                <a:ext uri="{63B3BB69-23CF-44E3-9099-C40C66FF867C}">
                  <a14:compatExt spid="_x0000_s798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8</xdr:row>
          <xdr:rowOff>19050</xdr:rowOff>
        </xdr:from>
        <xdr:to>
          <xdr:col>2</xdr:col>
          <xdr:colOff>981075</xdr:colOff>
          <xdr:row>8</xdr:row>
          <xdr:rowOff>171450</xdr:rowOff>
        </xdr:to>
        <xdr:sp macro="" textlink="">
          <xdr:nvSpPr>
            <xdr:cNvPr id="79892" name="Scroll Bar 20" hidden="1">
              <a:extLst>
                <a:ext uri="{63B3BB69-23CF-44E3-9099-C40C66FF867C}">
                  <a14:compatExt spid="_x0000_s798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3</xdr:row>
          <xdr:rowOff>28575</xdr:rowOff>
        </xdr:from>
        <xdr:to>
          <xdr:col>2</xdr:col>
          <xdr:colOff>1200150</xdr:colOff>
          <xdr:row>3</xdr:row>
          <xdr:rowOff>190500</xdr:rowOff>
        </xdr:to>
        <xdr:sp macro="" textlink="">
          <xdr:nvSpPr>
            <xdr:cNvPr id="36865" name="Scroll Bar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8</xdr:row>
          <xdr:rowOff>28575</xdr:rowOff>
        </xdr:from>
        <xdr:to>
          <xdr:col>2</xdr:col>
          <xdr:colOff>1200150</xdr:colOff>
          <xdr:row>8</xdr:row>
          <xdr:rowOff>190500</xdr:rowOff>
        </xdr:to>
        <xdr:sp macro="" textlink="">
          <xdr:nvSpPr>
            <xdr:cNvPr id="36866" name="Scroll Bar 2" hidden="1">
              <a:extLst>
                <a:ext uri="{63B3BB69-23CF-44E3-9099-C40C66FF867C}">
                  <a14:compatExt spid="_x0000_s368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2</xdr:row>
          <xdr:rowOff>28575</xdr:rowOff>
        </xdr:from>
        <xdr:to>
          <xdr:col>2</xdr:col>
          <xdr:colOff>1200150</xdr:colOff>
          <xdr:row>2</xdr:row>
          <xdr:rowOff>190500</xdr:rowOff>
        </xdr:to>
        <xdr:sp macro="" textlink="">
          <xdr:nvSpPr>
            <xdr:cNvPr id="36867" name="Scroll Bar 3" hidden="1">
              <a:extLst>
                <a:ext uri="{63B3BB69-23CF-44E3-9099-C40C66FF867C}">
                  <a14:compatExt spid="_x0000_s368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4</xdr:row>
          <xdr:rowOff>28575</xdr:rowOff>
        </xdr:from>
        <xdr:to>
          <xdr:col>2</xdr:col>
          <xdr:colOff>1200150</xdr:colOff>
          <xdr:row>4</xdr:row>
          <xdr:rowOff>190500</xdr:rowOff>
        </xdr:to>
        <xdr:sp macro="" textlink="">
          <xdr:nvSpPr>
            <xdr:cNvPr id="36868" name="Scroll Bar 4" hidden="1">
              <a:extLst>
                <a:ext uri="{63B3BB69-23CF-44E3-9099-C40C66FF867C}">
                  <a14:compatExt spid="_x0000_s368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5</xdr:row>
          <xdr:rowOff>28575</xdr:rowOff>
        </xdr:from>
        <xdr:to>
          <xdr:col>2</xdr:col>
          <xdr:colOff>1200150</xdr:colOff>
          <xdr:row>5</xdr:row>
          <xdr:rowOff>190500</xdr:rowOff>
        </xdr:to>
        <xdr:sp macro="" textlink="">
          <xdr:nvSpPr>
            <xdr:cNvPr id="36869" name="Scroll Bar 5" hidden="1">
              <a:extLst>
                <a:ext uri="{63B3BB69-23CF-44E3-9099-C40C66FF867C}">
                  <a14:compatExt spid="_x0000_s368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6</xdr:row>
          <xdr:rowOff>28575</xdr:rowOff>
        </xdr:from>
        <xdr:to>
          <xdr:col>2</xdr:col>
          <xdr:colOff>1200150</xdr:colOff>
          <xdr:row>6</xdr:row>
          <xdr:rowOff>190500</xdr:rowOff>
        </xdr:to>
        <xdr:sp macro="" textlink="">
          <xdr:nvSpPr>
            <xdr:cNvPr id="36870" name="Scroll Bar 6" hidden="1">
              <a:extLst>
                <a:ext uri="{63B3BB69-23CF-44E3-9099-C40C66FF867C}">
                  <a14:compatExt spid="_x0000_s368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7</xdr:row>
          <xdr:rowOff>28575</xdr:rowOff>
        </xdr:from>
        <xdr:to>
          <xdr:col>2</xdr:col>
          <xdr:colOff>1200150</xdr:colOff>
          <xdr:row>7</xdr:row>
          <xdr:rowOff>190500</xdr:rowOff>
        </xdr:to>
        <xdr:sp macro="" textlink="">
          <xdr:nvSpPr>
            <xdr:cNvPr id="36871" name="Scroll Bar 7" hidden="1">
              <a:extLst>
                <a:ext uri="{63B3BB69-23CF-44E3-9099-C40C66FF867C}">
                  <a14:compatExt spid="_x0000_s368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4</xdr:row>
          <xdr:rowOff>9525</xdr:rowOff>
        </xdr:from>
        <xdr:to>
          <xdr:col>2</xdr:col>
          <xdr:colOff>838200</xdr:colOff>
          <xdr:row>4</xdr:row>
          <xdr:rowOff>171450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2</xdr:row>
          <xdr:rowOff>28575</xdr:rowOff>
        </xdr:from>
        <xdr:to>
          <xdr:col>2</xdr:col>
          <xdr:colOff>838200</xdr:colOff>
          <xdr:row>2</xdr:row>
          <xdr:rowOff>190500</xdr:rowOff>
        </xdr:to>
        <xdr:sp macro="" textlink="">
          <xdr:nvSpPr>
            <xdr:cNvPr id="3074" name="Scroll Bar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5</xdr:row>
          <xdr:rowOff>9525</xdr:rowOff>
        </xdr:from>
        <xdr:to>
          <xdr:col>2</xdr:col>
          <xdr:colOff>838200</xdr:colOff>
          <xdr:row>5</xdr:row>
          <xdr:rowOff>171450</xdr:rowOff>
        </xdr:to>
        <xdr:sp macro="" textlink="">
          <xdr:nvSpPr>
            <xdr:cNvPr id="3075" name="Scroll Bar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6</xdr:row>
          <xdr:rowOff>9525</xdr:rowOff>
        </xdr:from>
        <xdr:to>
          <xdr:col>2</xdr:col>
          <xdr:colOff>838200</xdr:colOff>
          <xdr:row>6</xdr:row>
          <xdr:rowOff>171450</xdr:rowOff>
        </xdr:to>
        <xdr:sp macro="" textlink="">
          <xdr:nvSpPr>
            <xdr:cNvPr id="3076" name="Scroll Bar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7</xdr:row>
          <xdr:rowOff>9525</xdr:rowOff>
        </xdr:from>
        <xdr:to>
          <xdr:col>2</xdr:col>
          <xdr:colOff>838200</xdr:colOff>
          <xdr:row>7</xdr:row>
          <xdr:rowOff>171450</xdr:rowOff>
        </xdr:to>
        <xdr:sp macro="" textlink="">
          <xdr:nvSpPr>
            <xdr:cNvPr id="3077" name="Scroll Bar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8</xdr:row>
          <xdr:rowOff>9525</xdr:rowOff>
        </xdr:from>
        <xdr:to>
          <xdr:col>2</xdr:col>
          <xdr:colOff>838200</xdr:colOff>
          <xdr:row>8</xdr:row>
          <xdr:rowOff>171450</xdr:rowOff>
        </xdr:to>
        <xdr:sp macro="" textlink="">
          <xdr:nvSpPr>
            <xdr:cNvPr id="3078" name="Scroll Bar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9</xdr:row>
          <xdr:rowOff>9525</xdr:rowOff>
        </xdr:from>
        <xdr:to>
          <xdr:col>2</xdr:col>
          <xdr:colOff>838200</xdr:colOff>
          <xdr:row>9</xdr:row>
          <xdr:rowOff>171450</xdr:rowOff>
        </xdr:to>
        <xdr:sp macro="" textlink="">
          <xdr:nvSpPr>
            <xdr:cNvPr id="3079" name="Scroll Bar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10</xdr:row>
          <xdr:rowOff>9525</xdr:rowOff>
        </xdr:from>
        <xdr:to>
          <xdr:col>2</xdr:col>
          <xdr:colOff>838200</xdr:colOff>
          <xdr:row>10</xdr:row>
          <xdr:rowOff>171450</xdr:rowOff>
        </xdr:to>
        <xdr:sp macro="" textlink="">
          <xdr:nvSpPr>
            <xdr:cNvPr id="3080" name="Scroll Bar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4</xdr:row>
          <xdr:rowOff>9525</xdr:rowOff>
        </xdr:from>
        <xdr:to>
          <xdr:col>3</xdr:col>
          <xdr:colOff>838200</xdr:colOff>
          <xdr:row>4</xdr:row>
          <xdr:rowOff>171450</xdr:rowOff>
        </xdr:to>
        <xdr:sp macro="" textlink="">
          <xdr:nvSpPr>
            <xdr:cNvPr id="15361" name="Scroll Bar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2</xdr:row>
          <xdr:rowOff>28575</xdr:rowOff>
        </xdr:from>
        <xdr:to>
          <xdr:col>3</xdr:col>
          <xdr:colOff>838200</xdr:colOff>
          <xdr:row>2</xdr:row>
          <xdr:rowOff>190500</xdr:rowOff>
        </xdr:to>
        <xdr:sp macro="" textlink="">
          <xdr:nvSpPr>
            <xdr:cNvPr id="15362" name="Scroll Bar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5</xdr:row>
          <xdr:rowOff>9525</xdr:rowOff>
        </xdr:from>
        <xdr:to>
          <xdr:col>3</xdr:col>
          <xdr:colOff>838200</xdr:colOff>
          <xdr:row>5</xdr:row>
          <xdr:rowOff>171450</xdr:rowOff>
        </xdr:to>
        <xdr:sp macro="" textlink="">
          <xdr:nvSpPr>
            <xdr:cNvPr id="15363" name="Scroll Bar 3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6</xdr:row>
          <xdr:rowOff>9525</xdr:rowOff>
        </xdr:from>
        <xdr:to>
          <xdr:col>3</xdr:col>
          <xdr:colOff>838200</xdr:colOff>
          <xdr:row>6</xdr:row>
          <xdr:rowOff>171450</xdr:rowOff>
        </xdr:to>
        <xdr:sp macro="" textlink="">
          <xdr:nvSpPr>
            <xdr:cNvPr id="15364" name="Scroll Bar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7</xdr:row>
          <xdr:rowOff>9525</xdr:rowOff>
        </xdr:from>
        <xdr:to>
          <xdr:col>3</xdr:col>
          <xdr:colOff>838200</xdr:colOff>
          <xdr:row>7</xdr:row>
          <xdr:rowOff>171450</xdr:rowOff>
        </xdr:to>
        <xdr:sp macro="" textlink="">
          <xdr:nvSpPr>
            <xdr:cNvPr id="15365" name="Scroll Bar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8</xdr:row>
          <xdr:rowOff>9525</xdr:rowOff>
        </xdr:from>
        <xdr:to>
          <xdr:col>3</xdr:col>
          <xdr:colOff>838200</xdr:colOff>
          <xdr:row>8</xdr:row>
          <xdr:rowOff>171450</xdr:rowOff>
        </xdr:to>
        <xdr:sp macro="" textlink="">
          <xdr:nvSpPr>
            <xdr:cNvPr id="15366" name="Scroll Bar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10</xdr:row>
          <xdr:rowOff>19050</xdr:rowOff>
        </xdr:from>
        <xdr:to>
          <xdr:col>3</xdr:col>
          <xdr:colOff>838200</xdr:colOff>
          <xdr:row>10</xdr:row>
          <xdr:rowOff>180975</xdr:rowOff>
        </xdr:to>
        <xdr:sp macro="" textlink="">
          <xdr:nvSpPr>
            <xdr:cNvPr id="15367" name="Scroll Bar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9</xdr:row>
          <xdr:rowOff>9525</xdr:rowOff>
        </xdr:from>
        <xdr:to>
          <xdr:col>3</xdr:col>
          <xdr:colOff>838200</xdr:colOff>
          <xdr:row>9</xdr:row>
          <xdr:rowOff>171450</xdr:rowOff>
        </xdr:to>
        <xdr:sp macro="" textlink="">
          <xdr:nvSpPr>
            <xdr:cNvPr id="15370" name="Scroll Bar 10" hidden="1">
              <a:extLst>
                <a:ext uri="{63B3BB69-23CF-44E3-9099-C40C66FF867C}">
                  <a14:compatExt spid="_x0000_s153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57149</xdr:colOff>
      <xdr:row>11</xdr:row>
      <xdr:rowOff>0</xdr:rowOff>
    </xdr:from>
    <xdr:to>
      <xdr:col>11</xdr:col>
      <xdr:colOff>85724</xdr:colOff>
      <xdr:row>12</xdr:row>
      <xdr:rowOff>38100</xdr:rowOff>
    </xdr:to>
    <xdr:sp macro="" textlink="$K$7">
      <xdr:nvSpPr>
        <xdr:cNvPr id="2" name="TextBox 1"/>
        <xdr:cNvSpPr txBox="1"/>
      </xdr:nvSpPr>
      <xdr:spPr>
        <a:xfrm>
          <a:off x="4772024" y="1952625"/>
          <a:ext cx="27622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B6096018-F5AF-4067-B54C-59726A568809}" type="TxLink">
            <a:rPr lang="en-US" sz="700" b="0" i="0" u="none" strike="noStrike">
              <a:solidFill>
                <a:srgbClr val="000000"/>
              </a:solidFill>
              <a:latin typeface="Calibri"/>
            </a:rPr>
            <a:pPr/>
            <a:t> </a:t>
          </a:fld>
          <a:endParaRPr lang="id-ID" sz="700"/>
        </a:p>
      </xdr:txBody>
    </xdr:sp>
    <xdr:clientData/>
  </xdr:twoCellAnchor>
  <xdr:twoCellAnchor>
    <xdr:from>
      <xdr:col>9</xdr:col>
      <xdr:colOff>28575</xdr:colOff>
      <xdr:row>12</xdr:row>
      <xdr:rowOff>66674</xdr:rowOff>
    </xdr:from>
    <xdr:to>
      <xdr:col>11</xdr:col>
      <xdr:colOff>114300</xdr:colOff>
      <xdr:row>13</xdr:row>
      <xdr:rowOff>28575</xdr:rowOff>
    </xdr:to>
    <xdr:sp macro="" textlink="">
      <xdr:nvSpPr>
        <xdr:cNvPr id="3" name="TextBox 2"/>
        <xdr:cNvSpPr txBox="1"/>
      </xdr:nvSpPr>
      <xdr:spPr>
        <a:xfrm>
          <a:off x="4162425" y="2343149"/>
          <a:ext cx="342900" cy="1809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id-ID" sz="700" b="0" i="0" u="none" strike="noStrike">
              <a:solidFill>
                <a:srgbClr val="000000"/>
              </a:solidFill>
              <a:latin typeface="Calibri"/>
            </a:rPr>
            <a:t>i=1</a:t>
          </a:r>
          <a:endParaRPr lang="en-US" sz="700" b="0" i="0" u="none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9</xdr:col>
      <xdr:colOff>57150</xdr:colOff>
      <xdr:row>11</xdr:row>
      <xdr:rowOff>0</xdr:rowOff>
    </xdr:from>
    <xdr:to>
      <xdr:col>10</xdr:col>
      <xdr:colOff>171450</xdr:colOff>
      <xdr:row>11</xdr:row>
      <xdr:rowOff>171450</xdr:rowOff>
    </xdr:to>
    <xdr:sp macro="" textlink="">
      <xdr:nvSpPr>
        <xdr:cNvPr id="4" name="TextBox 3"/>
        <xdr:cNvSpPr txBox="1"/>
      </xdr:nvSpPr>
      <xdr:spPr>
        <a:xfrm>
          <a:off x="4191000" y="2047875"/>
          <a:ext cx="190500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id-ID" sz="700" b="0" i="0" u="none" strike="noStrike">
              <a:solidFill>
                <a:srgbClr val="000000"/>
              </a:solidFill>
              <a:latin typeface="Calibri"/>
            </a:rPr>
            <a:t>n</a:t>
          </a:r>
          <a:endParaRPr lang="en-US" sz="700" b="0" i="0" u="none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11</xdr:col>
      <xdr:colOff>9525</xdr:colOff>
      <xdr:row>13</xdr:row>
      <xdr:rowOff>47625</xdr:rowOff>
    </xdr:from>
    <xdr:to>
      <xdr:col>11</xdr:col>
      <xdr:colOff>352425</xdr:colOff>
      <xdr:row>14</xdr:row>
      <xdr:rowOff>171450</xdr:rowOff>
    </xdr:to>
    <xdr:sp macro="" textlink="">
      <xdr:nvSpPr>
        <xdr:cNvPr id="5" name="Double Bracket 4"/>
        <xdr:cNvSpPr/>
      </xdr:nvSpPr>
      <xdr:spPr>
        <a:xfrm>
          <a:off x="4400550" y="2543175"/>
          <a:ext cx="342900" cy="342900"/>
        </a:xfrm>
        <a:prstGeom prst="bracketPair">
          <a:avLst/>
        </a:prstGeom>
        <a:ln>
          <a:solidFill>
            <a:srgbClr val="070C1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9</xdr:col>
      <xdr:colOff>28575</xdr:colOff>
      <xdr:row>13</xdr:row>
      <xdr:rowOff>19050</xdr:rowOff>
    </xdr:from>
    <xdr:to>
      <xdr:col>12</xdr:col>
      <xdr:colOff>28575</xdr:colOff>
      <xdr:row>15</xdr:row>
      <xdr:rowOff>180975</xdr:rowOff>
    </xdr:to>
    <xdr:sp macro="" textlink="">
      <xdr:nvSpPr>
        <xdr:cNvPr id="6" name="Double Bracket 5"/>
        <xdr:cNvSpPr/>
      </xdr:nvSpPr>
      <xdr:spPr>
        <a:xfrm>
          <a:off x="4162425" y="2514600"/>
          <a:ext cx="695325" cy="581025"/>
        </a:xfrm>
        <a:prstGeom prst="bracketPair">
          <a:avLst/>
        </a:prstGeom>
        <a:ln>
          <a:solidFill>
            <a:srgbClr val="070C1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704850</xdr:colOff>
          <xdr:row>4</xdr:row>
          <xdr:rowOff>28575</xdr:rowOff>
        </xdr:from>
        <xdr:to>
          <xdr:col>2</xdr:col>
          <xdr:colOff>1190625</xdr:colOff>
          <xdr:row>4</xdr:row>
          <xdr:rowOff>190500</xdr:rowOff>
        </xdr:to>
        <xdr:sp macro="" textlink="">
          <xdr:nvSpPr>
            <xdr:cNvPr id="13313" name="Scroll Bar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704850</xdr:colOff>
          <xdr:row>3</xdr:row>
          <xdr:rowOff>28575</xdr:rowOff>
        </xdr:from>
        <xdr:to>
          <xdr:col>2</xdr:col>
          <xdr:colOff>1190625</xdr:colOff>
          <xdr:row>3</xdr:row>
          <xdr:rowOff>190500</xdr:rowOff>
        </xdr:to>
        <xdr:sp macro="" textlink="">
          <xdr:nvSpPr>
            <xdr:cNvPr id="13314" name="Scroll Bar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704850</xdr:colOff>
          <xdr:row>2</xdr:row>
          <xdr:rowOff>28575</xdr:rowOff>
        </xdr:from>
        <xdr:to>
          <xdr:col>2</xdr:col>
          <xdr:colOff>1190625</xdr:colOff>
          <xdr:row>2</xdr:row>
          <xdr:rowOff>190500</xdr:rowOff>
        </xdr:to>
        <xdr:sp macro="" textlink="">
          <xdr:nvSpPr>
            <xdr:cNvPr id="13315" name="Scroll Bar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704850</xdr:colOff>
          <xdr:row>5</xdr:row>
          <xdr:rowOff>28575</xdr:rowOff>
        </xdr:from>
        <xdr:to>
          <xdr:col>2</xdr:col>
          <xdr:colOff>1190625</xdr:colOff>
          <xdr:row>5</xdr:row>
          <xdr:rowOff>190500</xdr:rowOff>
        </xdr:to>
        <xdr:sp macro="" textlink="">
          <xdr:nvSpPr>
            <xdr:cNvPr id="13316" name="Scroll Bar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704850</xdr:colOff>
          <xdr:row>6</xdr:row>
          <xdr:rowOff>28575</xdr:rowOff>
        </xdr:from>
        <xdr:to>
          <xdr:col>2</xdr:col>
          <xdr:colOff>1190625</xdr:colOff>
          <xdr:row>6</xdr:row>
          <xdr:rowOff>190500</xdr:rowOff>
        </xdr:to>
        <xdr:sp macro="" textlink="">
          <xdr:nvSpPr>
            <xdr:cNvPr id="13317" name="Scroll Bar 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</xdr:row>
          <xdr:rowOff>9525</xdr:rowOff>
        </xdr:from>
        <xdr:to>
          <xdr:col>3</xdr:col>
          <xdr:colOff>552450</xdr:colOff>
          <xdr:row>4</xdr:row>
          <xdr:rowOff>171450</xdr:rowOff>
        </xdr:to>
        <xdr:sp macro="" textlink="">
          <xdr:nvSpPr>
            <xdr:cNvPr id="23553" name="Scroll Bar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</xdr:row>
          <xdr:rowOff>9525</xdr:rowOff>
        </xdr:from>
        <xdr:to>
          <xdr:col>3</xdr:col>
          <xdr:colOff>552450</xdr:colOff>
          <xdr:row>3</xdr:row>
          <xdr:rowOff>171450</xdr:rowOff>
        </xdr:to>
        <xdr:sp macro="" textlink="">
          <xdr:nvSpPr>
            <xdr:cNvPr id="23554" name="Scroll Bar 2" hidden="1">
              <a:extLst>
                <a:ext uri="{63B3BB69-23CF-44E3-9099-C40C66FF867C}">
                  <a14:compatExt spid="_x0000_s235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</xdr:row>
          <xdr:rowOff>9525</xdr:rowOff>
        </xdr:from>
        <xdr:to>
          <xdr:col>3</xdr:col>
          <xdr:colOff>552450</xdr:colOff>
          <xdr:row>5</xdr:row>
          <xdr:rowOff>171450</xdr:rowOff>
        </xdr:to>
        <xdr:sp macro="" textlink="">
          <xdr:nvSpPr>
            <xdr:cNvPr id="23555" name="Scroll Bar 3" hidden="1">
              <a:extLst>
                <a:ext uri="{63B3BB69-23CF-44E3-9099-C40C66FF867C}">
                  <a14:compatExt spid="_x0000_s235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</xdr:row>
          <xdr:rowOff>9525</xdr:rowOff>
        </xdr:from>
        <xdr:to>
          <xdr:col>3</xdr:col>
          <xdr:colOff>552450</xdr:colOff>
          <xdr:row>6</xdr:row>
          <xdr:rowOff>171450</xdr:rowOff>
        </xdr:to>
        <xdr:sp macro="" textlink="">
          <xdr:nvSpPr>
            <xdr:cNvPr id="23556" name="Scroll Bar 4" hidden="1">
              <a:extLst>
                <a:ext uri="{63B3BB69-23CF-44E3-9099-C40C66FF867C}">
                  <a14:compatExt spid="_x0000_s235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</xdr:row>
          <xdr:rowOff>9525</xdr:rowOff>
        </xdr:from>
        <xdr:to>
          <xdr:col>3</xdr:col>
          <xdr:colOff>552450</xdr:colOff>
          <xdr:row>7</xdr:row>
          <xdr:rowOff>171450</xdr:rowOff>
        </xdr:to>
        <xdr:sp macro="" textlink="">
          <xdr:nvSpPr>
            <xdr:cNvPr id="23557" name="Scroll Bar 5" hidden="1">
              <a:extLst>
                <a:ext uri="{63B3BB69-23CF-44E3-9099-C40C66FF867C}">
                  <a14:compatExt spid="_x0000_s235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</xdr:row>
          <xdr:rowOff>9525</xdr:rowOff>
        </xdr:from>
        <xdr:to>
          <xdr:col>3</xdr:col>
          <xdr:colOff>552450</xdr:colOff>
          <xdr:row>8</xdr:row>
          <xdr:rowOff>171450</xdr:rowOff>
        </xdr:to>
        <xdr:sp macro="" textlink="">
          <xdr:nvSpPr>
            <xdr:cNvPr id="23558" name="Scroll Bar 6" hidden="1">
              <a:extLst>
                <a:ext uri="{63B3BB69-23CF-44E3-9099-C40C66FF867C}">
                  <a14:compatExt spid="_x0000_s235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771525</xdr:colOff>
          <xdr:row>9</xdr:row>
          <xdr:rowOff>28575</xdr:rowOff>
        </xdr:from>
        <xdr:to>
          <xdr:col>3</xdr:col>
          <xdr:colOff>1257300</xdr:colOff>
          <xdr:row>9</xdr:row>
          <xdr:rowOff>190500</xdr:rowOff>
        </xdr:to>
        <xdr:sp macro="" textlink="">
          <xdr:nvSpPr>
            <xdr:cNvPr id="23559" name="Scroll Bar 7" hidden="1">
              <a:extLst>
                <a:ext uri="{63B3BB69-23CF-44E3-9099-C40C66FF867C}">
                  <a14:compatExt spid="_x0000_s235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3</xdr:row>
          <xdr:rowOff>9525</xdr:rowOff>
        </xdr:from>
        <xdr:to>
          <xdr:col>4</xdr:col>
          <xdr:colOff>552450</xdr:colOff>
          <xdr:row>3</xdr:row>
          <xdr:rowOff>171450</xdr:rowOff>
        </xdr:to>
        <xdr:sp macro="" textlink="">
          <xdr:nvSpPr>
            <xdr:cNvPr id="23561" name="Scroll Bar 9" hidden="1">
              <a:extLst>
                <a:ext uri="{63B3BB69-23CF-44E3-9099-C40C66FF867C}">
                  <a14:compatExt spid="_x0000_s235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9525</xdr:rowOff>
        </xdr:from>
        <xdr:to>
          <xdr:col>4</xdr:col>
          <xdr:colOff>552450</xdr:colOff>
          <xdr:row>4</xdr:row>
          <xdr:rowOff>171450</xdr:rowOff>
        </xdr:to>
        <xdr:sp macro="" textlink="">
          <xdr:nvSpPr>
            <xdr:cNvPr id="23562" name="Scroll Bar 10" hidden="1">
              <a:extLst>
                <a:ext uri="{63B3BB69-23CF-44E3-9099-C40C66FF867C}">
                  <a14:compatExt spid="_x0000_s235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5</xdr:row>
          <xdr:rowOff>9525</xdr:rowOff>
        </xdr:from>
        <xdr:to>
          <xdr:col>4</xdr:col>
          <xdr:colOff>552450</xdr:colOff>
          <xdr:row>5</xdr:row>
          <xdr:rowOff>171450</xdr:rowOff>
        </xdr:to>
        <xdr:sp macro="" textlink="">
          <xdr:nvSpPr>
            <xdr:cNvPr id="23563" name="Scroll Bar 11" hidden="1">
              <a:extLst>
                <a:ext uri="{63B3BB69-23CF-44E3-9099-C40C66FF867C}">
                  <a14:compatExt spid="_x0000_s235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6</xdr:row>
          <xdr:rowOff>9525</xdr:rowOff>
        </xdr:from>
        <xdr:to>
          <xdr:col>4</xdr:col>
          <xdr:colOff>552450</xdr:colOff>
          <xdr:row>6</xdr:row>
          <xdr:rowOff>171450</xdr:rowOff>
        </xdr:to>
        <xdr:sp macro="" textlink="">
          <xdr:nvSpPr>
            <xdr:cNvPr id="23564" name="Scroll Bar 12" hidden="1">
              <a:extLst>
                <a:ext uri="{63B3BB69-23CF-44E3-9099-C40C66FF867C}">
                  <a14:compatExt spid="_x0000_s235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7</xdr:row>
          <xdr:rowOff>9525</xdr:rowOff>
        </xdr:from>
        <xdr:to>
          <xdr:col>4</xdr:col>
          <xdr:colOff>552450</xdr:colOff>
          <xdr:row>7</xdr:row>
          <xdr:rowOff>171450</xdr:rowOff>
        </xdr:to>
        <xdr:sp macro="" textlink="">
          <xdr:nvSpPr>
            <xdr:cNvPr id="23565" name="Scroll Bar 13" hidden="1">
              <a:extLst>
                <a:ext uri="{63B3BB69-23CF-44E3-9099-C40C66FF867C}">
                  <a14:compatExt spid="_x0000_s235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8</xdr:row>
          <xdr:rowOff>9525</xdr:rowOff>
        </xdr:from>
        <xdr:to>
          <xdr:col>4</xdr:col>
          <xdr:colOff>552450</xdr:colOff>
          <xdr:row>8</xdr:row>
          <xdr:rowOff>171450</xdr:rowOff>
        </xdr:to>
        <xdr:sp macro="" textlink="">
          <xdr:nvSpPr>
            <xdr:cNvPr id="23566" name="Scroll Bar 14" hidden="1">
              <a:extLst>
                <a:ext uri="{63B3BB69-23CF-44E3-9099-C40C66FF867C}">
                  <a14:compatExt spid="_x0000_s235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</xdr:row>
          <xdr:rowOff>9525</xdr:rowOff>
        </xdr:from>
        <xdr:to>
          <xdr:col>3</xdr:col>
          <xdr:colOff>552450</xdr:colOff>
          <xdr:row>8</xdr:row>
          <xdr:rowOff>171450</xdr:rowOff>
        </xdr:to>
        <xdr:sp macro="" textlink="">
          <xdr:nvSpPr>
            <xdr:cNvPr id="23568" name="Scroll Bar 16" hidden="1">
              <a:extLst>
                <a:ext uri="{63B3BB69-23CF-44E3-9099-C40C66FF867C}">
                  <a14:compatExt spid="_x0000_s235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4</xdr:row>
          <xdr:rowOff>9525</xdr:rowOff>
        </xdr:from>
        <xdr:to>
          <xdr:col>3</xdr:col>
          <xdr:colOff>552450</xdr:colOff>
          <xdr:row>4</xdr:row>
          <xdr:rowOff>171450</xdr:rowOff>
        </xdr:to>
        <xdr:sp macro="" textlink="">
          <xdr:nvSpPr>
            <xdr:cNvPr id="23569" name="Scroll Bar 17" hidden="1">
              <a:extLst>
                <a:ext uri="{63B3BB69-23CF-44E3-9099-C40C66FF867C}">
                  <a14:compatExt spid="_x0000_s235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5</xdr:row>
          <xdr:rowOff>9525</xdr:rowOff>
        </xdr:from>
        <xdr:to>
          <xdr:col>3</xdr:col>
          <xdr:colOff>552450</xdr:colOff>
          <xdr:row>5</xdr:row>
          <xdr:rowOff>171450</xdr:rowOff>
        </xdr:to>
        <xdr:sp macro="" textlink="">
          <xdr:nvSpPr>
            <xdr:cNvPr id="23570" name="Scroll Bar 18" hidden="1">
              <a:extLst>
                <a:ext uri="{63B3BB69-23CF-44E3-9099-C40C66FF867C}">
                  <a14:compatExt spid="_x0000_s235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</xdr:row>
          <xdr:rowOff>9525</xdr:rowOff>
        </xdr:from>
        <xdr:to>
          <xdr:col>3</xdr:col>
          <xdr:colOff>552450</xdr:colOff>
          <xdr:row>6</xdr:row>
          <xdr:rowOff>171450</xdr:rowOff>
        </xdr:to>
        <xdr:sp macro="" textlink="">
          <xdr:nvSpPr>
            <xdr:cNvPr id="23571" name="Scroll Bar 19" hidden="1">
              <a:extLst>
                <a:ext uri="{63B3BB69-23CF-44E3-9099-C40C66FF867C}">
                  <a14:compatExt spid="_x0000_s235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</xdr:row>
          <xdr:rowOff>9525</xdr:rowOff>
        </xdr:from>
        <xdr:to>
          <xdr:col>3</xdr:col>
          <xdr:colOff>552450</xdr:colOff>
          <xdr:row>7</xdr:row>
          <xdr:rowOff>171450</xdr:rowOff>
        </xdr:to>
        <xdr:sp macro="" textlink="">
          <xdr:nvSpPr>
            <xdr:cNvPr id="23572" name="Scroll Bar 20" hidden="1">
              <a:extLst>
                <a:ext uri="{63B3BB69-23CF-44E3-9099-C40C66FF867C}">
                  <a14:compatExt spid="_x0000_s235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</xdr:row>
          <xdr:rowOff>9525</xdr:rowOff>
        </xdr:from>
        <xdr:to>
          <xdr:col>3</xdr:col>
          <xdr:colOff>552450</xdr:colOff>
          <xdr:row>8</xdr:row>
          <xdr:rowOff>171450</xdr:rowOff>
        </xdr:to>
        <xdr:sp macro="" textlink="">
          <xdr:nvSpPr>
            <xdr:cNvPr id="23573" name="Scroll Bar 21" hidden="1">
              <a:extLst>
                <a:ext uri="{63B3BB69-23CF-44E3-9099-C40C66FF867C}">
                  <a14:compatExt spid="_x0000_s235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9525</xdr:rowOff>
        </xdr:from>
        <xdr:to>
          <xdr:col>4</xdr:col>
          <xdr:colOff>552450</xdr:colOff>
          <xdr:row>4</xdr:row>
          <xdr:rowOff>171450</xdr:rowOff>
        </xdr:to>
        <xdr:sp macro="" textlink="">
          <xdr:nvSpPr>
            <xdr:cNvPr id="23574" name="Scroll Bar 22" hidden="1">
              <a:extLst>
                <a:ext uri="{63B3BB69-23CF-44E3-9099-C40C66FF867C}">
                  <a14:compatExt spid="_x0000_s235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5</xdr:row>
          <xdr:rowOff>9525</xdr:rowOff>
        </xdr:from>
        <xdr:to>
          <xdr:col>4</xdr:col>
          <xdr:colOff>552450</xdr:colOff>
          <xdr:row>5</xdr:row>
          <xdr:rowOff>171450</xdr:rowOff>
        </xdr:to>
        <xdr:sp macro="" textlink="">
          <xdr:nvSpPr>
            <xdr:cNvPr id="23575" name="Scroll Bar 23" hidden="1">
              <a:extLst>
                <a:ext uri="{63B3BB69-23CF-44E3-9099-C40C66FF867C}">
                  <a14:compatExt spid="_x0000_s235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6</xdr:row>
          <xdr:rowOff>9525</xdr:rowOff>
        </xdr:from>
        <xdr:to>
          <xdr:col>4</xdr:col>
          <xdr:colOff>552450</xdr:colOff>
          <xdr:row>6</xdr:row>
          <xdr:rowOff>171450</xdr:rowOff>
        </xdr:to>
        <xdr:sp macro="" textlink="">
          <xdr:nvSpPr>
            <xdr:cNvPr id="23576" name="Scroll Bar 24" hidden="1">
              <a:extLst>
                <a:ext uri="{63B3BB69-23CF-44E3-9099-C40C66FF867C}">
                  <a14:compatExt spid="_x0000_s235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7</xdr:row>
          <xdr:rowOff>9525</xdr:rowOff>
        </xdr:from>
        <xdr:to>
          <xdr:col>4</xdr:col>
          <xdr:colOff>552450</xdr:colOff>
          <xdr:row>7</xdr:row>
          <xdr:rowOff>171450</xdr:rowOff>
        </xdr:to>
        <xdr:sp macro="" textlink="">
          <xdr:nvSpPr>
            <xdr:cNvPr id="23577" name="Scroll Bar 25" hidden="1">
              <a:extLst>
                <a:ext uri="{63B3BB69-23CF-44E3-9099-C40C66FF867C}">
                  <a14:compatExt spid="_x0000_s235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8</xdr:row>
          <xdr:rowOff>9525</xdr:rowOff>
        </xdr:from>
        <xdr:to>
          <xdr:col>4</xdr:col>
          <xdr:colOff>552450</xdr:colOff>
          <xdr:row>8</xdr:row>
          <xdr:rowOff>171450</xdr:rowOff>
        </xdr:to>
        <xdr:sp macro="" textlink="">
          <xdr:nvSpPr>
            <xdr:cNvPr id="23578" name="Scroll Bar 26" hidden="1">
              <a:extLst>
                <a:ext uri="{63B3BB69-23CF-44E3-9099-C40C66FF867C}">
                  <a14:compatExt spid="_x0000_s235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762000</xdr:colOff>
          <xdr:row>4</xdr:row>
          <xdr:rowOff>28575</xdr:rowOff>
        </xdr:from>
        <xdr:to>
          <xdr:col>2</xdr:col>
          <xdr:colOff>1247775</xdr:colOff>
          <xdr:row>4</xdr:row>
          <xdr:rowOff>190500</xdr:rowOff>
        </xdr:to>
        <xdr:sp macro="" textlink="">
          <xdr:nvSpPr>
            <xdr:cNvPr id="37889" name="Scroll Bar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762000</xdr:colOff>
          <xdr:row>5</xdr:row>
          <xdr:rowOff>28575</xdr:rowOff>
        </xdr:from>
        <xdr:to>
          <xdr:col>2</xdr:col>
          <xdr:colOff>1247775</xdr:colOff>
          <xdr:row>5</xdr:row>
          <xdr:rowOff>190500</xdr:rowOff>
        </xdr:to>
        <xdr:sp macro="" textlink="">
          <xdr:nvSpPr>
            <xdr:cNvPr id="37890" name="Scroll Bar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762000</xdr:colOff>
          <xdr:row>3</xdr:row>
          <xdr:rowOff>28575</xdr:rowOff>
        </xdr:from>
        <xdr:to>
          <xdr:col>2</xdr:col>
          <xdr:colOff>1247775</xdr:colOff>
          <xdr:row>3</xdr:row>
          <xdr:rowOff>190500</xdr:rowOff>
        </xdr:to>
        <xdr:sp macro="" textlink="">
          <xdr:nvSpPr>
            <xdr:cNvPr id="37891" name="Scroll Bar 3" hidden="1">
              <a:extLst>
                <a:ext uri="{63B3BB69-23CF-44E3-9099-C40C66FF867C}">
                  <a14:compatExt spid="_x0000_s378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762000</xdr:colOff>
          <xdr:row>2</xdr:row>
          <xdr:rowOff>28575</xdr:rowOff>
        </xdr:from>
        <xdr:to>
          <xdr:col>2</xdr:col>
          <xdr:colOff>1247775</xdr:colOff>
          <xdr:row>2</xdr:row>
          <xdr:rowOff>190500</xdr:rowOff>
        </xdr:to>
        <xdr:sp macro="" textlink="">
          <xdr:nvSpPr>
            <xdr:cNvPr id="37892" name="Scroll Bar 4" hidden="1">
              <a:extLst>
                <a:ext uri="{63B3BB69-23CF-44E3-9099-C40C66FF867C}">
                  <a14:compatExt spid="_x0000_s378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647700</xdr:colOff>
          <xdr:row>2</xdr:row>
          <xdr:rowOff>47625</xdr:rowOff>
        </xdr:from>
        <xdr:to>
          <xdr:col>2</xdr:col>
          <xdr:colOff>1133475</xdr:colOff>
          <xdr:row>2</xdr:row>
          <xdr:rowOff>209550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647700</xdr:colOff>
          <xdr:row>3</xdr:row>
          <xdr:rowOff>28575</xdr:rowOff>
        </xdr:from>
        <xdr:to>
          <xdr:col>2</xdr:col>
          <xdr:colOff>1133475</xdr:colOff>
          <xdr:row>3</xdr:row>
          <xdr:rowOff>190500</xdr:rowOff>
        </xdr:to>
        <xdr:sp macro="" textlink="">
          <xdr:nvSpPr>
            <xdr:cNvPr id="5122" name="Scroll Bar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647700</xdr:colOff>
          <xdr:row>4</xdr:row>
          <xdr:rowOff>9525</xdr:rowOff>
        </xdr:from>
        <xdr:to>
          <xdr:col>2</xdr:col>
          <xdr:colOff>1133475</xdr:colOff>
          <xdr:row>4</xdr:row>
          <xdr:rowOff>171450</xdr:rowOff>
        </xdr:to>
        <xdr:sp macro="" textlink="">
          <xdr:nvSpPr>
            <xdr:cNvPr id="5123" name="Scroll Bar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2015/505KASUS/DISK/EXCEL%202007/MATERI/BAB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2015/MATEKEU/PENYUSUTA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rmas004\books\SE9BOOKS\Chartsmmc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2018/TEXT/MATEMATIKA%20KEUANGAN/DISK/EXCEL%202007/ANUITAS%20ok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1/150FUNGSI/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SUS1"/>
      <sheetName val="KASUS2"/>
      <sheetName val="KASUS3"/>
      <sheetName val="KASUS4"/>
      <sheetName val="KASUS5"/>
      <sheetName val="KASUS6"/>
      <sheetName val="KASUS7"/>
      <sheetName val="KASUS8"/>
      <sheetName val="KASUS9"/>
      <sheetName val="KASUS10"/>
      <sheetName val="KASUS11"/>
      <sheetName val="KASUS12"/>
      <sheetName val="KASUS13"/>
      <sheetName val="KASUS14"/>
      <sheetName val="KASUS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4">
          <cell r="O4">
            <v>1</v>
          </cell>
          <cell r="P4">
            <v>2</v>
          </cell>
          <cell r="Q4">
            <v>3</v>
          </cell>
          <cell r="R4">
            <v>4</v>
          </cell>
          <cell r="S4">
            <v>5</v>
          </cell>
        </row>
        <row r="5">
          <cell r="O5">
            <v>10</v>
          </cell>
          <cell r="P5">
            <v>16</v>
          </cell>
          <cell r="Q5">
            <v>22</v>
          </cell>
          <cell r="R5">
            <v>28</v>
          </cell>
          <cell r="S5">
            <v>34</v>
          </cell>
        </row>
        <row r="6">
          <cell r="K6">
            <v>101</v>
          </cell>
          <cell r="L6" t="str">
            <v>VARIO CW</v>
          </cell>
          <cell r="M6">
            <v>14700000</v>
          </cell>
          <cell r="N6">
            <v>3100000</v>
          </cell>
          <cell r="O6">
            <v>1618000</v>
          </cell>
          <cell r="P6">
            <v>1096000</v>
          </cell>
          <cell r="Q6">
            <v>859000</v>
          </cell>
          <cell r="R6">
            <v>730000</v>
          </cell>
          <cell r="S6">
            <v>648000</v>
          </cell>
        </row>
        <row r="7">
          <cell r="K7">
            <v>102</v>
          </cell>
          <cell r="N7">
            <v>3250000</v>
          </cell>
          <cell r="O7">
            <v>1600000</v>
          </cell>
          <cell r="P7">
            <v>1084000</v>
          </cell>
          <cell r="Q7">
            <v>850000</v>
          </cell>
          <cell r="R7">
            <v>722000</v>
          </cell>
          <cell r="S7">
            <v>642000</v>
          </cell>
        </row>
        <row r="8">
          <cell r="K8">
            <v>103</v>
          </cell>
          <cell r="N8">
            <v>3500000</v>
          </cell>
          <cell r="O8">
            <v>1568000</v>
          </cell>
          <cell r="P8">
            <v>1058000</v>
          </cell>
          <cell r="Q8">
            <v>835000</v>
          </cell>
          <cell r="R8">
            <v>710000</v>
          </cell>
          <cell r="S8">
            <v>634000</v>
          </cell>
        </row>
        <row r="9">
          <cell r="K9">
            <v>104</v>
          </cell>
          <cell r="L9" t="str">
            <v>VARIO TECHNO FI</v>
          </cell>
          <cell r="M9">
            <v>15500000</v>
          </cell>
          <cell r="N9">
            <v>3200000</v>
          </cell>
          <cell r="O9">
            <v>1733000</v>
          </cell>
          <cell r="P9">
            <v>1175000</v>
          </cell>
          <cell r="Q9">
            <v>926000</v>
          </cell>
          <cell r="R9">
            <v>785000</v>
          </cell>
          <cell r="S9">
            <v>695000</v>
          </cell>
        </row>
        <row r="10">
          <cell r="K10">
            <v>105</v>
          </cell>
          <cell r="N10">
            <v>3300000</v>
          </cell>
          <cell r="O10">
            <v>1721000</v>
          </cell>
          <cell r="P10">
            <v>1167000</v>
          </cell>
          <cell r="Q10">
            <v>920000</v>
          </cell>
          <cell r="R10">
            <v>780000</v>
          </cell>
          <cell r="S10">
            <v>691000</v>
          </cell>
        </row>
        <row r="11">
          <cell r="K11">
            <v>106</v>
          </cell>
          <cell r="N11">
            <v>3500000</v>
          </cell>
          <cell r="O11">
            <v>1683000</v>
          </cell>
          <cell r="P11">
            <v>1144000</v>
          </cell>
          <cell r="Q11">
            <v>903000</v>
          </cell>
          <cell r="R11">
            <v>763000</v>
          </cell>
          <cell r="S11">
            <v>682000</v>
          </cell>
        </row>
        <row r="12">
          <cell r="K12">
            <v>107</v>
          </cell>
          <cell r="L12" t="str">
            <v>VARIO TECHNO ISS</v>
          </cell>
          <cell r="M12">
            <v>16450000</v>
          </cell>
          <cell r="N12">
            <v>3400000</v>
          </cell>
          <cell r="O12">
            <v>1829000</v>
          </cell>
          <cell r="P12">
            <v>1241000</v>
          </cell>
          <cell r="Q12">
            <v>971000</v>
          </cell>
          <cell r="R12">
            <v>824000</v>
          </cell>
          <cell r="S12">
            <v>738000</v>
          </cell>
        </row>
        <row r="13">
          <cell r="K13">
            <v>108</v>
          </cell>
          <cell r="N13">
            <v>3500000</v>
          </cell>
          <cell r="O13">
            <v>1798000</v>
          </cell>
          <cell r="P13">
            <v>1225000</v>
          </cell>
          <cell r="Q13">
            <v>961000</v>
          </cell>
          <cell r="R13">
            <v>815000</v>
          </cell>
          <cell r="S13">
            <v>716000</v>
          </cell>
        </row>
        <row r="14">
          <cell r="K14">
            <v>109</v>
          </cell>
          <cell r="N14">
            <v>3750000</v>
          </cell>
          <cell r="O14">
            <v>1769000</v>
          </cell>
          <cell r="P14">
            <v>1205000</v>
          </cell>
          <cell r="Q14">
            <v>946000</v>
          </cell>
          <cell r="R14">
            <v>802000</v>
          </cell>
          <cell r="S14">
            <v>705000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SUS1"/>
      <sheetName val="KASUS2"/>
      <sheetName val="KASUS3"/>
      <sheetName val="KASUS4"/>
      <sheetName val="KASUS5"/>
      <sheetName val="KASUS6"/>
      <sheetName val="KASUS7"/>
      <sheetName val="KASUS8"/>
      <sheetName val="KASUS9"/>
      <sheetName val="KASUS10"/>
      <sheetName val="KASUS11"/>
      <sheetName val="KASUS12"/>
      <sheetName val="KASUS13"/>
      <sheetName val="KASUS14"/>
      <sheetName val="KASUS15"/>
      <sheetName val="KASUS16"/>
      <sheetName val="AMORDEGRC"/>
      <sheetName val="AMORLINC"/>
      <sheetName val="DB"/>
      <sheetName val="DDB"/>
      <sheetName val="SLN"/>
      <sheetName val="SYD"/>
      <sheetName val="VDB"/>
      <sheetName val="KASUS17"/>
      <sheetName val="KASUS8x"/>
      <sheetName val="KASUSx9"/>
      <sheetName val="KASUS10x"/>
      <sheetName val="KASUS11x"/>
      <sheetName val="Sheet3"/>
    </sheetNames>
    <sheetDataSet>
      <sheetData sheetId="0"/>
      <sheetData sheetId="1">
        <row r="11">
          <cell r="P11">
            <v>1</v>
          </cell>
          <cell r="Q11" t="str">
            <v>Januari</v>
          </cell>
        </row>
        <row r="12">
          <cell r="P12">
            <v>2</v>
          </cell>
          <cell r="Q12" t="str">
            <v>Februari</v>
          </cell>
        </row>
        <row r="13">
          <cell r="P13">
            <v>3</v>
          </cell>
          <cell r="Q13" t="str">
            <v>Maret</v>
          </cell>
        </row>
        <row r="14">
          <cell r="P14">
            <v>4</v>
          </cell>
          <cell r="Q14" t="str">
            <v>April</v>
          </cell>
        </row>
        <row r="15">
          <cell r="P15">
            <v>5</v>
          </cell>
          <cell r="Q15" t="str">
            <v>Mei</v>
          </cell>
        </row>
        <row r="16">
          <cell r="P16">
            <v>6</v>
          </cell>
          <cell r="Q16" t="str">
            <v>Juni</v>
          </cell>
        </row>
        <row r="17">
          <cell r="P17">
            <v>7</v>
          </cell>
          <cell r="Q17" t="str">
            <v>Juli</v>
          </cell>
        </row>
        <row r="18">
          <cell r="P18">
            <v>8</v>
          </cell>
          <cell r="Q18" t="str">
            <v>Agustus</v>
          </cell>
        </row>
        <row r="19">
          <cell r="P19">
            <v>9</v>
          </cell>
          <cell r="Q19" t="str">
            <v>September</v>
          </cell>
        </row>
        <row r="20">
          <cell r="P20">
            <v>10</v>
          </cell>
          <cell r="Q20" t="str">
            <v>Oktober</v>
          </cell>
        </row>
        <row r="21">
          <cell r="P21">
            <v>11</v>
          </cell>
          <cell r="Q21" t="str">
            <v>Nopember</v>
          </cell>
        </row>
        <row r="22">
          <cell r="P22">
            <v>12</v>
          </cell>
          <cell r="Q22" t="str">
            <v>Desember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1600000000</v>
          </cell>
        </row>
        <row r="14">
          <cell r="C14">
            <v>1</v>
          </cell>
          <cell r="D14">
            <v>300800000</v>
          </cell>
          <cell r="E14">
            <v>300800000</v>
          </cell>
          <cell r="F14">
            <v>300800000</v>
          </cell>
          <cell r="G14">
            <v>1299200000</v>
          </cell>
        </row>
        <row r="15">
          <cell r="C15">
            <v>2</v>
          </cell>
          <cell r="D15">
            <v>244249600</v>
          </cell>
          <cell r="E15">
            <v>244249600</v>
          </cell>
          <cell r="F15">
            <v>545049600</v>
          </cell>
          <cell r="G15">
            <v>1054950400</v>
          </cell>
        </row>
        <row r="16">
          <cell r="C16">
            <v>3</v>
          </cell>
          <cell r="D16">
            <v>198330675.19999999</v>
          </cell>
          <cell r="E16">
            <v>198330675.19999999</v>
          </cell>
          <cell r="F16">
            <v>743380275.20000005</v>
          </cell>
          <cell r="G16">
            <v>856619724.79999995</v>
          </cell>
        </row>
        <row r="17">
          <cell r="C17">
            <v>4</v>
          </cell>
          <cell r="D17">
            <v>161044508.2624</v>
          </cell>
          <cell r="E17">
            <v>161044508.2624</v>
          </cell>
          <cell r="F17">
            <v>904424783.46240008</v>
          </cell>
          <cell r="G17">
            <v>695575216.53759992</v>
          </cell>
        </row>
        <row r="18">
          <cell r="C18">
            <v>5</v>
          </cell>
          <cell r="D18">
            <v>130768140.70906879</v>
          </cell>
          <cell r="E18">
            <v>130768140.70906879</v>
          </cell>
          <cell r="F18">
            <v>1035192924.1714689</v>
          </cell>
          <cell r="G18">
            <v>564807075.82853115</v>
          </cell>
        </row>
        <row r="19">
          <cell r="C19">
            <v>6</v>
          </cell>
          <cell r="D19">
            <v>106183730.25576386</v>
          </cell>
          <cell r="E19">
            <v>106183730.25576386</v>
          </cell>
          <cell r="F19">
            <v>1141376654.4272327</v>
          </cell>
          <cell r="G19">
            <v>458623345.57276726</v>
          </cell>
        </row>
        <row r="20">
          <cell r="C20">
            <v>7</v>
          </cell>
          <cell r="D20">
            <v>86221188.967680246</v>
          </cell>
          <cell r="E20">
            <v>86221188.967680246</v>
          </cell>
          <cell r="F20">
            <v>1227597843.394913</v>
          </cell>
          <cell r="G20">
            <v>372402156.60508704</v>
          </cell>
        </row>
        <row r="21">
          <cell r="C21">
            <v>8</v>
          </cell>
          <cell r="D21">
            <v>70011605.441756368</v>
          </cell>
          <cell r="E21">
            <v>70011605.441756368</v>
          </cell>
          <cell r="F21">
            <v>1297609448.8366694</v>
          </cell>
          <cell r="G21">
            <v>302390551.16333055</v>
          </cell>
        </row>
        <row r="22">
          <cell r="C22">
            <v>9</v>
          </cell>
          <cell r="D22">
            <v>56849423.618706167</v>
          </cell>
          <cell r="E22">
            <v>56849423.618706167</v>
          </cell>
          <cell r="F22">
            <v>1354458872.4553757</v>
          </cell>
          <cell r="G22">
            <v>245541127.54462433</v>
          </cell>
        </row>
        <row r="23">
          <cell r="C23">
            <v>10</v>
          </cell>
          <cell r="D23">
            <v>46161731.978389405</v>
          </cell>
          <cell r="E23">
            <v>46161731.978389405</v>
          </cell>
          <cell r="F23">
            <v>1400620604.4337652</v>
          </cell>
          <cell r="G23">
            <v>199379395.56623483</v>
          </cell>
        </row>
      </sheetData>
      <sheetData sheetId="2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CURVES(Beginner)"/>
      <sheetName val="FORM CONTROLS &amp; CHARTS(Casual)"/>
      <sheetName val="CAPACITY-DEMAND MODEL(Advanced)"/>
      <sheetName val="RESOURCE MODEL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SUS1"/>
      <sheetName val="KASUS2"/>
      <sheetName val="KASUS3"/>
      <sheetName val="KASUS4"/>
      <sheetName val="KASUS5"/>
      <sheetName val="KASUS6"/>
      <sheetName val="KASUS7"/>
      <sheetName val="KASUS8"/>
      <sheetName val="KASUS9"/>
      <sheetName val="KASUS10"/>
      <sheetName val="KASUS11"/>
      <sheetName val="KASUS12"/>
      <sheetName val="KASUS13"/>
      <sheetName val="KASUS14"/>
      <sheetName val="KASUS15"/>
      <sheetName val="KASUS16"/>
      <sheetName val="KASUS17"/>
      <sheetName val="KASUS18"/>
      <sheetName val="KASUS19"/>
      <sheetName val="KASUS20"/>
      <sheetName val="KASUS21"/>
      <sheetName val="KASUS22"/>
    </sheetNames>
    <sheetDataSet>
      <sheetData sheetId="0"/>
      <sheetData sheetId="1">
        <row r="13">
          <cell r="AC13" t="str">
            <v>Periode</v>
          </cell>
          <cell r="AD13">
            <v>0.01</v>
          </cell>
          <cell r="AE13">
            <v>0.02</v>
          </cell>
          <cell r="AF13">
            <v>0.03</v>
          </cell>
          <cell r="AG13">
            <v>0.04</v>
          </cell>
          <cell r="AH13">
            <v>0.05</v>
          </cell>
          <cell r="AI13">
            <v>0.06</v>
          </cell>
          <cell r="AJ13">
            <v>7.0000000000000007E-2</v>
          </cell>
          <cell r="AK13">
            <v>0.08</v>
          </cell>
          <cell r="AL13">
            <v>0.09</v>
          </cell>
          <cell r="AM13">
            <v>0.1</v>
          </cell>
          <cell r="AN13">
            <v>0.11</v>
          </cell>
          <cell r="AO13">
            <v>0.12</v>
          </cell>
          <cell r="AP13">
            <v>0.13</v>
          </cell>
          <cell r="AQ13">
            <v>0.14000000000000001</v>
          </cell>
          <cell r="AR13">
            <v>0.15</v>
          </cell>
          <cell r="AS13">
            <v>0.16</v>
          </cell>
          <cell r="AT13">
            <v>0.17</v>
          </cell>
          <cell r="AU13">
            <v>0.18</v>
          </cell>
          <cell r="AV13">
            <v>0.19</v>
          </cell>
          <cell r="AW13">
            <v>0.2</v>
          </cell>
          <cell r="AX13">
            <v>0.21</v>
          </cell>
          <cell r="AY13">
            <v>0.22</v>
          </cell>
          <cell r="AZ13">
            <v>0.23</v>
          </cell>
          <cell r="BA13">
            <v>0.24</v>
          </cell>
          <cell r="BB13">
            <v>0.25</v>
          </cell>
        </row>
        <row r="14">
          <cell r="AC14">
            <v>1</v>
          </cell>
          <cell r="AD14">
            <v>0.99009900990099098</v>
          </cell>
          <cell r="AE14">
            <v>0.98039215686274594</v>
          </cell>
          <cell r="AF14">
            <v>0.97087378640776778</v>
          </cell>
          <cell r="AG14">
            <v>0.96153846153846234</v>
          </cell>
          <cell r="AH14">
            <v>0.95238095238095322</v>
          </cell>
          <cell r="AI14">
            <v>0.94339622641509513</v>
          </cell>
          <cell r="AJ14">
            <v>0.93457943925233722</v>
          </cell>
          <cell r="AK14">
            <v>0.92592592592592671</v>
          </cell>
          <cell r="AL14">
            <v>0.91743119266055118</v>
          </cell>
          <cell r="AM14">
            <v>0.90909090909090984</v>
          </cell>
          <cell r="AN14">
            <v>0.90090090090090158</v>
          </cell>
          <cell r="AO14">
            <v>0.89285714285714357</v>
          </cell>
          <cell r="AP14">
            <v>0.88495575221238865</v>
          </cell>
          <cell r="AQ14">
            <v>0.87719298245614108</v>
          </cell>
          <cell r="AR14">
            <v>0.86956521739130388</v>
          </cell>
          <cell r="AS14">
            <v>0.86206896551724099</v>
          </cell>
          <cell r="AT14">
            <v>0.85470085470085433</v>
          </cell>
          <cell r="AU14">
            <v>0.84745762711864381</v>
          </cell>
          <cell r="AV14">
            <v>0.8403361344537813</v>
          </cell>
          <cell r="AW14">
            <v>0.83333333333333315</v>
          </cell>
          <cell r="AX14">
            <v>0.82644628099173545</v>
          </cell>
          <cell r="AY14">
            <v>0.81967213114754089</v>
          </cell>
          <cell r="AZ14">
            <v>0.81300813008130068</v>
          </cell>
          <cell r="BA14">
            <v>0.80645161290322587</v>
          </cell>
          <cell r="BB14">
            <v>0.8</v>
          </cell>
        </row>
        <row r="15">
          <cell r="AC15">
            <v>2</v>
          </cell>
          <cell r="AD15">
            <v>1.9703950593079116</v>
          </cell>
          <cell r="AE15">
            <v>1.9415609381007302</v>
          </cell>
          <cell r="AF15">
            <v>1.91346969554152</v>
          </cell>
          <cell r="AG15">
            <v>1.8860946745562153</v>
          </cell>
          <cell r="AH15">
            <v>1.8594104308390029</v>
          </cell>
          <cell r="AI15">
            <v>1.8333926664293365</v>
          </cell>
          <cell r="AJ15">
            <v>1.8080181675255482</v>
          </cell>
          <cell r="AK15">
            <v>1.7832647462277103</v>
          </cell>
          <cell r="AL15">
            <v>1.7591111859271116</v>
          </cell>
          <cell r="AM15">
            <v>1.735537190082646</v>
          </cell>
          <cell r="AN15">
            <v>1.7125233341449568</v>
          </cell>
          <cell r="AO15">
            <v>1.6900510204081642</v>
          </cell>
          <cell r="AP15">
            <v>1.6681024355861838</v>
          </cell>
          <cell r="AQ15">
            <v>1.6466605109264401</v>
          </cell>
          <cell r="AR15">
            <v>1.6257088846880898</v>
          </cell>
          <cell r="AS15">
            <v>1.6052318668252077</v>
          </cell>
          <cell r="AT15">
            <v>1.5852144057272255</v>
          </cell>
          <cell r="AU15">
            <v>1.5656420568802065</v>
          </cell>
          <cell r="AV15">
            <v>1.5465009533225051</v>
          </cell>
          <cell r="AW15">
            <v>1.5277777777777777</v>
          </cell>
          <cell r="AX15">
            <v>1.5094597363568063</v>
          </cell>
          <cell r="AY15">
            <v>1.4915345337274926</v>
          </cell>
          <cell r="AZ15">
            <v>1.4739903496595939</v>
          </cell>
          <cell r="BA15">
            <v>1.4568158168574403</v>
          </cell>
          <cell r="BB15">
            <v>1.44</v>
          </cell>
        </row>
        <row r="16">
          <cell r="AC16">
            <v>3</v>
          </cell>
          <cell r="AD16">
            <v>2.9409852072355469</v>
          </cell>
          <cell r="AE16">
            <v>2.8838832726477719</v>
          </cell>
          <cell r="AF16">
            <v>2.8286113548946812</v>
          </cell>
          <cell r="AG16">
            <v>2.7750910332271297</v>
          </cell>
          <cell r="AH16">
            <v>2.7232480293704802</v>
          </cell>
          <cell r="AI16">
            <v>2.6730119494616398</v>
          </cell>
          <cell r="AJ16">
            <v>2.6243160444164007</v>
          </cell>
          <cell r="AK16">
            <v>2.5770969872478804</v>
          </cell>
          <cell r="AL16">
            <v>2.5312946659881761</v>
          </cell>
          <cell r="AM16">
            <v>2.4868519909842246</v>
          </cell>
          <cell r="AN16">
            <v>2.4437147154459073</v>
          </cell>
          <cell r="AO16">
            <v>2.4018312682215761</v>
          </cell>
          <cell r="AP16">
            <v>2.3611525978638785</v>
          </cell>
          <cell r="AQ16">
            <v>2.3216320271284565</v>
          </cell>
          <cell r="AR16">
            <v>2.2832251171200775</v>
          </cell>
          <cell r="AS16">
            <v>2.2458895403665582</v>
          </cell>
          <cell r="AT16">
            <v>2.2095849621600214</v>
          </cell>
          <cell r="AU16">
            <v>2.1742729295594971</v>
          </cell>
          <cell r="AV16">
            <v>2.1399167674979034</v>
          </cell>
          <cell r="AW16">
            <v>2.1064814814814814</v>
          </cell>
          <cell r="AX16">
            <v>2.0739336664105834</v>
          </cell>
          <cell r="AY16">
            <v>2.0422414210881086</v>
          </cell>
          <cell r="AZ16">
            <v>2.0113742680159299</v>
          </cell>
          <cell r="BA16">
            <v>1.9813030781108389</v>
          </cell>
          <cell r="BB16">
            <v>1.952</v>
          </cell>
        </row>
        <row r="17">
          <cell r="AC17">
            <v>4</v>
          </cell>
          <cell r="AD17">
            <v>3.9019655517183738</v>
          </cell>
          <cell r="AE17">
            <v>3.8077286986742878</v>
          </cell>
          <cell r="AF17">
            <v>3.7170984028103682</v>
          </cell>
          <cell r="AG17">
            <v>3.6298952242568574</v>
          </cell>
          <cell r="AH17">
            <v>3.5459505041623607</v>
          </cell>
          <cell r="AI17">
            <v>3.4651056126996607</v>
          </cell>
          <cell r="AJ17">
            <v>3.387211256463925</v>
          </cell>
          <cell r="AK17">
            <v>3.3121268400443342</v>
          </cell>
          <cell r="AL17">
            <v>3.2397198770533731</v>
          </cell>
          <cell r="AM17">
            <v>3.1698654463492946</v>
          </cell>
          <cell r="AN17">
            <v>3.1024456895909083</v>
          </cell>
          <cell r="AO17">
            <v>3.037349346626407</v>
          </cell>
          <cell r="AP17">
            <v>2.9744713255432553</v>
          </cell>
          <cell r="AQ17">
            <v>2.9137123044986466</v>
          </cell>
          <cell r="AR17">
            <v>2.8549783627131111</v>
          </cell>
          <cell r="AS17">
            <v>2.7981806382470329</v>
          </cell>
          <cell r="AT17">
            <v>2.7432350103931804</v>
          </cell>
          <cell r="AU17">
            <v>2.690061804711438</v>
          </cell>
          <cell r="AV17">
            <v>2.6385855189058014</v>
          </cell>
          <cell r="AW17">
            <v>2.5887345679012346</v>
          </cell>
          <cell r="AX17">
            <v>2.5404410466203169</v>
          </cell>
          <cell r="AY17">
            <v>2.4936405090886131</v>
          </cell>
          <cell r="AZ17">
            <v>2.4482717626145769</v>
          </cell>
          <cell r="BA17">
            <v>2.4042766758958383</v>
          </cell>
          <cell r="BB17">
            <v>2.3616000000000001</v>
          </cell>
        </row>
        <row r="18">
          <cell r="AC18">
            <v>5</v>
          </cell>
          <cell r="AD18">
            <v>4.853431239325114</v>
          </cell>
          <cell r="AE18">
            <v>4.7134595085042061</v>
          </cell>
          <cell r="AF18">
            <v>4.5797071871945301</v>
          </cell>
          <cell r="AG18">
            <v>4.4518223310162108</v>
          </cell>
          <cell r="AH18">
            <v>4.3294766706308208</v>
          </cell>
          <cell r="AI18">
            <v>4.212363785565719</v>
          </cell>
          <cell r="AJ18">
            <v>4.100197435947595</v>
          </cell>
          <cell r="AK18">
            <v>3.9927100370780875</v>
          </cell>
          <cell r="AL18">
            <v>3.8896512633517193</v>
          </cell>
          <cell r="AM18">
            <v>3.7907867694084505</v>
          </cell>
          <cell r="AN18">
            <v>3.6958970176494668</v>
          </cell>
          <cell r="AO18">
            <v>3.6047762023450067</v>
          </cell>
          <cell r="AP18">
            <v>3.5172312615427028</v>
          </cell>
          <cell r="AQ18">
            <v>3.4330809688584623</v>
          </cell>
          <cell r="AR18">
            <v>3.352155098011401</v>
          </cell>
          <cell r="AS18">
            <v>3.274293653661235</v>
          </cell>
          <cell r="AT18">
            <v>3.1993461627292139</v>
          </cell>
          <cell r="AU18">
            <v>3.1271710209418959</v>
          </cell>
          <cell r="AV18">
            <v>3.0576348898368075</v>
          </cell>
          <cell r="AW18">
            <v>2.9906121399176953</v>
          </cell>
          <cell r="AX18">
            <v>2.9259843360498485</v>
          </cell>
          <cell r="AY18">
            <v>2.8636397615480438</v>
          </cell>
          <cell r="AZ18">
            <v>2.8034729777354284</v>
          </cell>
          <cell r="BA18">
            <v>2.7453844160450305</v>
          </cell>
          <cell r="BB18">
            <v>2.6892800000000001</v>
          </cell>
        </row>
        <row r="19">
          <cell r="AC19">
            <v>6</v>
          </cell>
          <cell r="AD19">
            <v>5.7954764745793392</v>
          </cell>
          <cell r="AE19">
            <v>5.6014308906903993</v>
          </cell>
          <cell r="AF19">
            <v>5.4171914438781865</v>
          </cell>
          <cell r="AG19">
            <v>5.2421368567463569</v>
          </cell>
          <cell r="AH19">
            <v>5.0756920672674468</v>
          </cell>
          <cell r="AI19">
            <v>4.9173243260053949</v>
          </cell>
          <cell r="AJ19">
            <v>4.7665396597641063</v>
          </cell>
          <cell r="AK19">
            <v>4.6228796639611929</v>
          </cell>
          <cell r="AL19">
            <v>4.4859185902309351</v>
          </cell>
          <cell r="AM19">
            <v>4.355260699462228</v>
          </cell>
          <cell r="AN19">
            <v>4.2305378537382587</v>
          </cell>
          <cell r="AO19">
            <v>4.1114073235223279</v>
          </cell>
          <cell r="AP19">
            <v>3.9975497889758422</v>
          </cell>
          <cell r="AQ19">
            <v>3.8886675165425109</v>
          </cell>
          <cell r="AR19">
            <v>3.784482693922957</v>
          </cell>
          <cell r="AS19">
            <v>3.6847359083286508</v>
          </cell>
          <cell r="AT19">
            <v>3.5891847544694135</v>
          </cell>
          <cell r="AU19">
            <v>3.4976025601202512</v>
          </cell>
          <cell r="AV19">
            <v>3.4097772183502584</v>
          </cell>
          <cell r="AW19">
            <v>3.3255101165980792</v>
          </cell>
          <cell r="AX19">
            <v>3.2446151537602055</v>
          </cell>
          <cell r="AY19">
            <v>3.166917837334462</v>
          </cell>
          <cell r="AZ19">
            <v>3.0922544534434375</v>
          </cell>
          <cell r="BA19">
            <v>3.0204713032621218</v>
          </cell>
          <cell r="BB19">
            <v>2.9514239999999998</v>
          </cell>
        </row>
        <row r="20">
          <cell r="AC20">
            <v>7</v>
          </cell>
          <cell r="AD20">
            <v>6.7281945292864478</v>
          </cell>
          <cell r="AE20">
            <v>6.4719910693043037</v>
          </cell>
          <cell r="AF20">
            <v>6.2302829552215417</v>
          </cell>
          <cell r="AG20">
            <v>6.0020546699484187</v>
          </cell>
          <cell r="AH20">
            <v>5.7863733973975711</v>
          </cell>
          <cell r="AI20">
            <v>5.5823814396277331</v>
          </cell>
          <cell r="AJ20">
            <v>5.3892894016486981</v>
          </cell>
          <cell r="AK20">
            <v>5.2063700592233273</v>
          </cell>
          <cell r="AL20">
            <v>5.0329528350742532</v>
          </cell>
          <cell r="AM20">
            <v>4.8684188176929348</v>
          </cell>
          <cell r="AN20">
            <v>4.7121962646290614</v>
          </cell>
          <cell r="AO20">
            <v>4.5637565388592209</v>
          </cell>
          <cell r="AP20">
            <v>4.4226104327219842</v>
          </cell>
          <cell r="AQ20">
            <v>4.2883048390723779</v>
          </cell>
          <cell r="AR20">
            <v>4.1604197338460489</v>
          </cell>
          <cell r="AS20">
            <v>4.0385654382143539</v>
          </cell>
          <cell r="AT20">
            <v>3.9223801320251392</v>
          </cell>
          <cell r="AU20">
            <v>3.8115275933222468</v>
          </cell>
          <cell r="AV20">
            <v>3.7056951414708053</v>
          </cell>
          <cell r="AW20">
            <v>3.6045917638317326</v>
          </cell>
          <cell r="AX20">
            <v>3.5079464080662857</v>
          </cell>
          <cell r="AY20">
            <v>3.4155064240446409</v>
          </cell>
          <cell r="AZ20">
            <v>3.3270361410109253</v>
          </cell>
          <cell r="BA20">
            <v>3.2423155671468726</v>
          </cell>
          <cell r="BB20">
            <v>3.1611392</v>
          </cell>
        </row>
        <row r="21">
          <cell r="AC21">
            <v>8</v>
          </cell>
          <cell r="AD21">
            <v>7.6516777517687853</v>
          </cell>
          <cell r="AE21">
            <v>7.3254814404944195</v>
          </cell>
          <cell r="AF21">
            <v>7.0196921895354745</v>
          </cell>
          <cell r="AG21">
            <v>6.7327448749504049</v>
          </cell>
          <cell r="AH21">
            <v>6.4632127594262556</v>
          </cell>
          <cell r="AI21">
            <v>6.2097938109695594</v>
          </cell>
          <cell r="AJ21">
            <v>5.9712985062137358</v>
          </cell>
          <cell r="AK21">
            <v>5.7466389437253032</v>
          </cell>
          <cell r="AL21">
            <v>5.5348191147470214</v>
          </cell>
          <cell r="AM21">
            <v>5.3349261979026679</v>
          </cell>
          <cell r="AN21">
            <v>5.1461227609270832</v>
          </cell>
          <cell r="AO21">
            <v>4.967639766838591</v>
          </cell>
          <cell r="AP21">
            <v>4.7987702944442336</v>
          </cell>
          <cell r="AQ21">
            <v>4.6388638939231388</v>
          </cell>
          <cell r="AR21">
            <v>4.4873215076922159</v>
          </cell>
          <cell r="AS21">
            <v>4.3435908950123743</v>
          </cell>
          <cell r="AT21">
            <v>4.2071625060043925</v>
          </cell>
          <cell r="AU21">
            <v>4.077565757052751</v>
          </cell>
          <cell r="AV21">
            <v>3.9543656651015175</v>
          </cell>
          <cell r="AW21">
            <v>3.83715980319311</v>
          </cell>
          <cell r="AX21">
            <v>3.7255755438564342</v>
          </cell>
          <cell r="AY21">
            <v>3.6192675606923288</v>
          </cell>
          <cell r="AZ21">
            <v>3.5179155617975</v>
          </cell>
          <cell r="BA21">
            <v>3.4212222315700584</v>
          </cell>
          <cell r="BB21">
            <v>3.3289113600000002</v>
          </cell>
        </row>
        <row r="22">
          <cell r="AC22">
            <v>9</v>
          </cell>
          <cell r="AD22">
            <v>8.5660175760087061</v>
          </cell>
          <cell r="AE22">
            <v>8.1622367063670787</v>
          </cell>
          <cell r="AF22">
            <v>7.7861089218791024</v>
          </cell>
          <cell r="AG22">
            <v>7.4353316105292375</v>
          </cell>
          <cell r="AH22">
            <v>7.107821675644054</v>
          </cell>
          <cell r="AI22">
            <v>6.8016922744995831</v>
          </cell>
          <cell r="AJ22">
            <v>6.5152322487978855</v>
          </cell>
          <cell r="AK22">
            <v>6.2468879108567625</v>
          </cell>
          <cell r="AL22">
            <v>5.9952468942633228</v>
          </cell>
          <cell r="AM22">
            <v>5.7590238162751533</v>
          </cell>
          <cell r="AN22">
            <v>5.537047532366743</v>
          </cell>
          <cell r="AO22">
            <v>5.3282497918201708</v>
          </cell>
          <cell r="AP22">
            <v>5.1316551278267557</v>
          </cell>
          <cell r="AQ22">
            <v>4.9463718367746834</v>
          </cell>
          <cell r="AR22">
            <v>4.771583919732362</v>
          </cell>
          <cell r="AS22">
            <v>4.6065438750106678</v>
          </cell>
          <cell r="AT22">
            <v>4.4505662444481979</v>
          </cell>
          <cell r="AU22">
            <v>4.3030218280108059</v>
          </cell>
          <cell r="AV22">
            <v>4.1633324916819472</v>
          </cell>
          <cell r="AW22">
            <v>4.0309665026609256</v>
          </cell>
          <cell r="AX22">
            <v>3.9054343337656485</v>
          </cell>
          <cell r="AY22">
            <v>3.7862848858133837</v>
          </cell>
          <cell r="AZ22">
            <v>3.673102082762195</v>
          </cell>
          <cell r="BA22">
            <v>3.5655017996532732</v>
          </cell>
          <cell r="BB22">
            <v>3.4631290880000001</v>
          </cell>
        </row>
        <row r="23">
          <cell r="AC23">
            <v>10</v>
          </cell>
          <cell r="AD23">
            <v>9.4713045307016905</v>
          </cell>
          <cell r="AE23">
            <v>8.9825850062422354</v>
          </cell>
          <cell r="AF23">
            <v>8.5302028367758282</v>
          </cell>
          <cell r="AG23">
            <v>8.1108957793550349</v>
          </cell>
          <cell r="AH23">
            <v>7.7217349291848132</v>
          </cell>
          <cell r="AI23">
            <v>7.3600870514147019</v>
          </cell>
          <cell r="AJ23">
            <v>7.0235815409326028</v>
          </cell>
          <cell r="AK23">
            <v>6.7100813989414467</v>
          </cell>
          <cell r="AL23">
            <v>6.4176577011590128</v>
          </cell>
          <cell r="AM23">
            <v>6.1445671057046853</v>
          </cell>
          <cell r="AN23">
            <v>5.8892320111412095</v>
          </cell>
          <cell r="AO23">
            <v>5.650223028410867</v>
          </cell>
          <cell r="AP23">
            <v>5.4262434759528801</v>
          </cell>
          <cell r="AQ23">
            <v>5.2161156462935825</v>
          </cell>
          <cell r="AR23">
            <v>5.0187686258542286</v>
          </cell>
          <cell r="AS23">
            <v>4.8332274784574718</v>
          </cell>
          <cell r="AT23">
            <v>4.6586036277335028</v>
          </cell>
          <cell r="AU23">
            <v>4.4940862949244123</v>
          </cell>
          <cell r="AV23">
            <v>4.3389348669596197</v>
          </cell>
          <cell r="AW23">
            <v>4.1924720855507713</v>
          </cell>
          <cell r="AX23">
            <v>4.0540779617897922</v>
          </cell>
          <cell r="AY23">
            <v>3.9231843326339213</v>
          </cell>
          <cell r="AZ23">
            <v>3.7992699859855241</v>
          </cell>
          <cell r="BA23">
            <v>3.6818562900429619</v>
          </cell>
          <cell r="BB23">
            <v>3.5705032704000002</v>
          </cell>
        </row>
        <row r="24">
          <cell r="AC24">
            <v>11</v>
          </cell>
          <cell r="AD24">
            <v>10.367628248219475</v>
          </cell>
          <cell r="AE24">
            <v>9.7868480453355176</v>
          </cell>
          <cell r="AF24">
            <v>9.2526241133745906</v>
          </cell>
          <cell r="AG24">
            <v>8.7604767109183026</v>
          </cell>
          <cell r="AH24">
            <v>8.3064142182712519</v>
          </cell>
          <cell r="AI24">
            <v>7.8868745768063242</v>
          </cell>
          <cell r="AJ24">
            <v>7.4986743373201898</v>
          </cell>
          <cell r="AK24">
            <v>7.1389642582791168</v>
          </cell>
          <cell r="AL24">
            <v>6.8051905515220295</v>
          </cell>
          <cell r="AM24">
            <v>6.495061005186078</v>
          </cell>
          <cell r="AN24">
            <v>6.2065153253524414</v>
          </cell>
          <cell r="AO24">
            <v>5.937699132509703</v>
          </cell>
          <cell r="AP24">
            <v>5.6869411291618404</v>
          </cell>
          <cell r="AQ24">
            <v>5.4527330230645461</v>
          </cell>
          <cell r="AR24">
            <v>5.2337118485688938</v>
          </cell>
          <cell r="AS24">
            <v>5.0286443779805783</v>
          </cell>
          <cell r="AT24">
            <v>4.8364133570371823</v>
          </cell>
          <cell r="AU24">
            <v>4.656005334681705</v>
          </cell>
          <cell r="AV24">
            <v>4.4864998882013607</v>
          </cell>
          <cell r="AW24">
            <v>4.3270600712923084</v>
          </cell>
          <cell r="AX24">
            <v>4.1769239353634644</v>
          </cell>
          <cell r="AY24">
            <v>4.0353969939622303</v>
          </cell>
          <cell r="AZ24">
            <v>3.9018455170614015</v>
          </cell>
          <cell r="BA24">
            <v>3.7756905564862602</v>
          </cell>
          <cell r="BB24">
            <v>3.6564026163199999</v>
          </cell>
        </row>
        <row r="25">
          <cell r="AC25">
            <v>12</v>
          </cell>
          <cell r="AD25">
            <v>11.255077473484633</v>
          </cell>
          <cell r="AE25">
            <v>10.57534122091718</v>
          </cell>
          <cell r="AF25">
            <v>9.954003993567559</v>
          </cell>
          <cell r="AG25">
            <v>9.3850737604983721</v>
          </cell>
          <cell r="AH25">
            <v>8.8632516364488101</v>
          </cell>
          <cell r="AI25">
            <v>8.3838439403833256</v>
          </cell>
          <cell r="AJ25">
            <v>7.9426862965609235</v>
          </cell>
          <cell r="AK25">
            <v>7.5360780169251091</v>
          </cell>
          <cell r="AL25">
            <v>7.1607252766257155</v>
          </cell>
          <cell r="AM25">
            <v>6.813691822896434</v>
          </cell>
          <cell r="AN25">
            <v>6.4923561489661639</v>
          </cell>
          <cell r="AO25">
            <v>6.1943742254550918</v>
          </cell>
          <cell r="AP25">
            <v>5.9176470169573809</v>
          </cell>
          <cell r="AQ25">
            <v>5.6602921254952161</v>
          </cell>
          <cell r="AR25">
            <v>5.4206189987555593</v>
          </cell>
          <cell r="AS25">
            <v>5.1971072223970509</v>
          </cell>
          <cell r="AT25">
            <v>4.9883874846471645</v>
          </cell>
          <cell r="AU25">
            <v>4.79322485989975</v>
          </cell>
          <cell r="AV25">
            <v>4.6105041077322362</v>
          </cell>
          <cell r="AW25">
            <v>4.439216726076924</v>
          </cell>
          <cell r="AX25">
            <v>4.2784495333582351</v>
          </cell>
          <cell r="AY25">
            <v>4.1273745852149428</v>
          </cell>
          <cell r="AZ25">
            <v>3.9852402577734973</v>
          </cell>
          <cell r="BA25">
            <v>3.8513633520050483</v>
          </cell>
          <cell r="BB25">
            <v>3.7251220930560001</v>
          </cell>
        </row>
        <row r="26">
          <cell r="AC26">
            <v>13</v>
          </cell>
          <cell r="AD26">
            <v>12.133740072757066</v>
          </cell>
          <cell r="AE26">
            <v>11.348373745997234</v>
          </cell>
          <cell r="AF26">
            <v>10.634955333560738</v>
          </cell>
          <cell r="AG26">
            <v>9.9856478466330483</v>
          </cell>
          <cell r="AH26">
            <v>9.3935729870941067</v>
          </cell>
          <cell r="AI26">
            <v>8.8526829626257797</v>
          </cell>
          <cell r="AJ26">
            <v>8.3576507444494617</v>
          </cell>
          <cell r="AK26">
            <v>7.9037759415973232</v>
          </cell>
          <cell r="AL26">
            <v>7.4869039235098311</v>
          </cell>
          <cell r="AM26">
            <v>7.1033562026331216</v>
          </cell>
          <cell r="AN26">
            <v>6.7498704044740219</v>
          </cell>
          <cell r="AO26">
            <v>6.4235484155849036</v>
          </cell>
          <cell r="AP26">
            <v>6.1218115194313105</v>
          </cell>
          <cell r="AQ26">
            <v>5.8423615135922944</v>
          </cell>
          <cell r="AR26">
            <v>5.5831469554396174</v>
          </cell>
          <cell r="AS26">
            <v>5.3423338124112512</v>
          </cell>
          <cell r="AT26">
            <v>5.1182799014078322</v>
          </cell>
          <cell r="AU26">
            <v>4.909512593135382</v>
          </cell>
          <cell r="AV26">
            <v>4.71470933422877</v>
          </cell>
          <cell r="AW26">
            <v>4.5326806050641038</v>
          </cell>
          <cell r="AX26">
            <v>4.3623549862464754</v>
          </cell>
          <cell r="AY26">
            <v>4.2027660534548712</v>
          </cell>
          <cell r="AZ26">
            <v>4.0530408599784531</v>
          </cell>
          <cell r="BA26">
            <v>3.9123898000040711</v>
          </cell>
          <cell r="BB26">
            <v>3.7800976744448</v>
          </cell>
        </row>
        <row r="27">
          <cell r="AC27">
            <v>14</v>
          </cell>
          <cell r="AD27">
            <v>13.00370304233374</v>
          </cell>
          <cell r="AE27">
            <v>12.106248770585527</v>
          </cell>
          <cell r="AF27">
            <v>11.296073139379358</v>
          </cell>
          <cell r="AG27">
            <v>10.563122929454854</v>
          </cell>
          <cell r="AH27">
            <v>9.8986409400896225</v>
          </cell>
          <cell r="AI27">
            <v>9.2949839270054522</v>
          </cell>
          <cell r="AJ27">
            <v>8.7454679854667869</v>
          </cell>
          <cell r="AK27">
            <v>8.2442369829604853</v>
          </cell>
          <cell r="AL27">
            <v>7.7861503885411292</v>
          </cell>
          <cell r="AM27">
            <v>7.3666874569392027</v>
          </cell>
          <cell r="AN27">
            <v>6.9818652292558756</v>
          </cell>
          <cell r="AO27">
            <v>6.6281682282008072</v>
          </cell>
          <cell r="AP27">
            <v>6.3024880702931947</v>
          </cell>
          <cell r="AQ27">
            <v>6.0020715031511358</v>
          </cell>
          <cell r="AR27">
            <v>5.7244756134257537</v>
          </cell>
          <cell r="AS27">
            <v>5.4675291486303879</v>
          </cell>
          <cell r="AT27">
            <v>5.2292990610323358</v>
          </cell>
          <cell r="AU27">
            <v>5.0080615196062555</v>
          </cell>
          <cell r="AV27">
            <v>4.802276751452748</v>
          </cell>
          <cell r="AW27">
            <v>4.6105671708867533</v>
          </cell>
          <cell r="AX27">
            <v>4.4316983357408892</v>
          </cell>
          <cell r="AY27">
            <v>4.2645623388974352</v>
          </cell>
          <cell r="AZ27">
            <v>4.1081633007954901</v>
          </cell>
          <cell r="BA27">
            <v>3.9616046774226379</v>
          </cell>
          <cell r="BB27">
            <v>3.8240781395558399</v>
          </cell>
        </row>
        <row r="28">
          <cell r="AC28">
            <v>15</v>
          </cell>
          <cell r="AD28">
            <v>13.865052517162095</v>
          </cell>
          <cell r="AE28">
            <v>12.849263500574036</v>
          </cell>
          <cell r="AF28">
            <v>11.937935086776077</v>
          </cell>
          <cell r="AG28">
            <v>11.118387432168129</v>
          </cell>
          <cell r="AH28">
            <v>10.379658038180596</v>
          </cell>
          <cell r="AI28">
            <v>9.7122489877409954</v>
          </cell>
          <cell r="AJ28">
            <v>9.1079140051091478</v>
          </cell>
          <cell r="AK28">
            <v>8.5594786879263758</v>
          </cell>
          <cell r="AL28">
            <v>8.0606884298542472</v>
          </cell>
          <cell r="AM28">
            <v>7.6060795063083662</v>
          </cell>
          <cell r="AN28">
            <v>7.190869575906194</v>
          </cell>
          <cell r="AO28">
            <v>6.8108644894650059</v>
          </cell>
          <cell r="AP28">
            <v>6.4623788232683141</v>
          </cell>
          <cell r="AQ28">
            <v>6.1421679852202953</v>
          </cell>
          <cell r="AR28">
            <v>5.8473700986310906</v>
          </cell>
          <cell r="AS28">
            <v>5.5754561626124035</v>
          </cell>
          <cell r="AT28">
            <v>5.3241872316515684</v>
          </cell>
          <cell r="AU28">
            <v>5.0915775589883525</v>
          </cell>
          <cell r="AV28">
            <v>4.8758628163468467</v>
          </cell>
          <cell r="AW28">
            <v>4.6754726424056274</v>
          </cell>
          <cell r="AX28">
            <v>4.4890068890420567</v>
          </cell>
          <cell r="AY28">
            <v>4.3152150318831444</v>
          </cell>
          <cell r="AZ28">
            <v>4.1529782933296664</v>
          </cell>
          <cell r="BA28">
            <v>4.0012940946956759</v>
          </cell>
          <cell r="BB28">
            <v>3.8592625116446722</v>
          </cell>
        </row>
        <row r="29">
          <cell r="AC29">
            <v>16</v>
          </cell>
          <cell r="AD29">
            <v>14.717873779368437</v>
          </cell>
          <cell r="AE29">
            <v>13.577709314288276</v>
          </cell>
          <cell r="AF29">
            <v>12.561102025996188</v>
          </cell>
          <cell r="AG29">
            <v>11.652295607853974</v>
          </cell>
          <cell r="AH29">
            <v>10.837769560171996</v>
          </cell>
          <cell r="AI29">
            <v>10.105895271453766</v>
          </cell>
          <cell r="AJ29">
            <v>9.4466486029057446</v>
          </cell>
          <cell r="AK29">
            <v>8.8513691554873848</v>
          </cell>
          <cell r="AL29">
            <v>8.3125581925268328</v>
          </cell>
          <cell r="AM29">
            <v>7.8237086420985147</v>
          </cell>
          <cell r="AN29">
            <v>7.3791617800956706</v>
          </cell>
          <cell r="AO29">
            <v>6.9739861513080417</v>
          </cell>
          <cell r="AP29">
            <v>6.6038750648392162</v>
          </cell>
          <cell r="AQ29">
            <v>6.2650596361581528</v>
          </cell>
          <cell r="AR29">
            <v>5.9542348683748605</v>
          </cell>
          <cell r="AS29">
            <v>5.6684966919072446</v>
          </cell>
          <cell r="AT29">
            <v>5.405288232180828</v>
          </cell>
          <cell r="AU29">
            <v>5.162353863549451</v>
          </cell>
          <cell r="AV29">
            <v>4.9376998456696191</v>
          </cell>
          <cell r="AW29">
            <v>4.729560535338023</v>
          </cell>
          <cell r="AX29">
            <v>4.5363693297868242</v>
          </cell>
          <cell r="AY29">
            <v>4.3567336326911015</v>
          </cell>
          <cell r="AZ29">
            <v>4.1894132466094858</v>
          </cell>
          <cell r="BA29">
            <v>4.0333016892707061</v>
          </cell>
          <cell r="BB29">
            <v>3.8874100093157375</v>
          </cell>
        </row>
        <row r="30">
          <cell r="AC30">
            <v>17</v>
          </cell>
          <cell r="AD30">
            <v>15.562251266701427</v>
          </cell>
          <cell r="AE30">
            <v>14.291871876753214</v>
          </cell>
          <cell r="AF30">
            <v>13.16611847184096</v>
          </cell>
          <cell r="AG30">
            <v>12.165668853705743</v>
          </cell>
          <cell r="AH30">
            <v>11.274066247782853</v>
          </cell>
          <cell r="AI30">
            <v>10.477259690050724</v>
          </cell>
          <cell r="AJ30">
            <v>9.7632229933698547</v>
          </cell>
          <cell r="AK30">
            <v>9.1216381069327639</v>
          </cell>
          <cell r="AL30">
            <v>8.5436313692906722</v>
          </cell>
          <cell r="AM30">
            <v>8.0215533109986499</v>
          </cell>
          <cell r="AN30">
            <v>7.5487943964825854</v>
          </cell>
          <cell r="AO30">
            <v>7.119630492239323</v>
          </cell>
          <cell r="AP30">
            <v>6.7290929777338198</v>
          </cell>
          <cell r="AQ30">
            <v>6.3728593299632923</v>
          </cell>
          <cell r="AR30">
            <v>6.0471607551085755</v>
          </cell>
          <cell r="AS30">
            <v>5.7487040447476243</v>
          </cell>
          <cell r="AT30">
            <v>5.4746053266502797</v>
          </cell>
          <cell r="AU30">
            <v>5.2223337826690264</v>
          </cell>
          <cell r="AV30">
            <v>4.9896637358568228</v>
          </cell>
          <cell r="AW30">
            <v>4.7746337794483518</v>
          </cell>
          <cell r="AX30">
            <v>4.5755118427990285</v>
          </cell>
          <cell r="AY30">
            <v>4.3907652726976245</v>
          </cell>
          <cell r="AZ30">
            <v>4.2190351598451103</v>
          </cell>
          <cell r="BA30">
            <v>4.0591142655408916</v>
          </cell>
          <cell r="BB30">
            <v>3.9099280074525899</v>
          </cell>
        </row>
        <row r="31">
          <cell r="AC31">
            <v>18</v>
          </cell>
          <cell r="AD31">
            <v>16.398268580892505</v>
          </cell>
          <cell r="AE31">
            <v>14.992031251718833</v>
          </cell>
          <cell r="AF31">
            <v>13.753513079457242</v>
          </cell>
          <cell r="AG31">
            <v>12.659296974717064</v>
          </cell>
          <cell r="AH31">
            <v>11.689586902650337</v>
          </cell>
          <cell r="AI31">
            <v>10.82760348117993</v>
          </cell>
          <cell r="AJ31">
            <v>10.059086909691453</v>
          </cell>
          <cell r="AK31">
            <v>9.3718871360488549</v>
          </cell>
          <cell r="AL31">
            <v>8.7556251094409845</v>
          </cell>
          <cell r="AM31">
            <v>8.2014121009078629</v>
          </cell>
          <cell r="AN31">
            <v>7.7016165734077351</v>
          </cell>
          <cell r="AO31">
            <v>7.2496700823565385</v>
          </cell>
          <cell r="AP31">
            <v>6.8399052900299289</v>
          </cell>
          <cell r="AQ31">
            <v>6.4674204648800817</v>
          </cell>
          <cell r="AR31">
            <v>6.1279658740074563</v>
          </cell>
          <cell r="AS31">
            <v>5.8178483144376072</v>
          </cell>
          <cell r="AT31">
            <v>5.5338507065387006</v>
          </cell>
          <cell r="AU31">
            <v>5.2731642226008697</v>
          </cell>
          <cell r="AV31">
            <v>5.0333308704679185</v>
          </cell>
          <cell r="AW31">
            <v>4.8121948162069597</v>
          </cell>
          <cell r="AX31">
            <v>4.6078610271066349</v>
          </cell>
          <cell r="AY31">
            <v>4.4186600595882162</v>
          </cell>
          <cell r="AZ31">
            <v>4.2431180161342352</v>
          </cell>
          <cell r="BA31">
            <v>4.0799308593071713</v>
          </cell>
          <cell r="BB31">
            <v>3.9279424059620722</v>
          </cell>
        </row>
        <row r="32">
          <cell r="AC32">
            <v>19</v>
          </cell>
          <cell r="AD32">
            <v>17.226008495933154</v>
          </cell>
          <cell r="AE32">
            <v>15.678462011489053</v>
          </cell>
          <cell r="AF32">
            <v>14.323799106269167</v>
          </cell>
          <cell r="AG32">
            <v>13.133939398766406</v>
          </cell>
          <cell r="AH32">
            <v>12.085320859666988</v>
          </cell>
          <cell r="AI32">
            <v>11.158116491679177</v>
          </cell>
          <cell r="AJ32">
            <v>10.335595242702292</v>
          </cell>
          <cell r="AK32">
            <v>9.6035992000452381</v>
          </cell>
          <cell r="AL32">
            <v>8.9501147793036555</v>
          </cell>
          <cell r="AM32">
            <v>8.3649200917344206</v>
          </cell>
          <cell r="AN32">
            <v>7.8392942102772389</v>
          </cell>
          <cell r="AO32">
            <v>7.3657768592469095</v>
          </cell>
          <cell r="AP32">
            <v>6.9379692832123263</v>
          </cell>
          <cell r="AQ32">
            <v>6.5503688288421769</v>
          </cell>
          <cell r="AR32">
            <v>6.1982311947890922</v>
          </cell>
          <cell r="AS32">
            <v>5.877455443480696</v>
          </cell>
          <cell r="AT32">
            <v>5.5844877833664111</v>
          </cell>
          <cell r="AU32">
            <v>5.3162408666109071</v>
          </cell>
          <cell r="AV32">
            <v>5.0700259415696793</v>
          </cell>
          <cell r="AW32">
            <v>4.8434956801724667</v>
          </cell>
          <cell r="AX32">
            <v>4.6345958901707727</v>
          </cell>
          <cell r="AY32">
            <v>4.4415246390067349</v>
          </cell>
          <cell r="AZ32">
            <v>4.2626975740928748</v>
          </cell>
          <cell r="BA32">
            <v>4.0967184349251387</v>
          </cell>
          <cell r="BB32">
            <v>3.9423539247696575</v>
          </cell>
        </row>
        <row r="33">
          <cell r="AC33">
            <v>20</v>
          </cell>
          <cell r="AD33">
            <v>18.045552966270456</v>
          </cell>
          <cell r="AE33">
            <v>16.351433344597112</v>
          </cell>
          <cell r="AF33">
            <v>14.877474860455502</v>
          </cell>
          <cell r="AG33">
            <v>13.590326344967698</v>
          </cell>
          <cell r="AH33">
            <v>12.462210342539986</v>
          </cell>
          <cell r="AI33">
            <v>11.469921218565263</v>
          </cell>
          <cell r="AJ33">
            <v>10.594014245516162</v>
          </cell>
          <cell r="AK33">
            <v>9.8181474074492936</v>
          </cell>
          <cell r="AL33">
            <v>9.1285456690859217</v>
          </cell>
          <cell r="AM33">
            <v>8.5135637197585652</v>
          </cell>
          <cell r="AN33">
            <v>7.9633281173668822</v>
          </cell>
          <cell r="AO33">
            <v>7.4694436243275968</v>
          </cell>
          <cell r="AP33">
            <v>7.0247515780640049</v>
          </cell>
          <cell r="AQ33">
            <v>6.6231305516159438</v>
          </cell>
          <cell r="AR33">
            <v>6.2593314737296453</v>
          </cell>
          <cell r="AS33">
            <v>5.9288408995523234</v>
          </cell>
          <cell r="AT33">
            <v>5.6277673362106073</v>
          </cell>
          <cell r="AU33">
            <v>5.3527464971278862</v>
          </cell>
          <cell r="AV33">
            <v>5.1008621357728394</v>
          </cell>
          <cell r="AW33">
            <v>4.869579733477055</v>
          </cell>
          <cell r="AX33">
            <v>4.6566908183229527</v>
          </cell>
          <cell r="AY33">
            <v>4.460266097546504</v>
          </cell>
          <cell r="AZ33">
            <v>4.2786159138966458</v>
          </cell>
          <cell r="BA33">
            <v>4.1102568023589825</v>
          </cell>
          <cell r="BB33">
            <v>3.9538831398157259</v>
          </cell>
        </row>
        <row r="34">
          <cell r="AC34">
            <v>21</v>
          </cell>
          <cell r="AD34">
            <v>18.856983134921236</v>
          </cell>
          <cell r="AE34">
            <v>17.011209161369717</v>
          </cell>
          <cell r="AF34">
            <v>15.415024136364561</v>
          </cell>
          <cell r="AG34">
            <v>14.029159947084327</v>
          </cell>
          <cell r="AH34">
            <v>12.821152707180941</v>
          </cell>
          <cell r="AI34">
            <v>11.764076621287986</v>
          </cell>
          <cell r="AJ34">
            <v>10.835527332258094</v>
          </cell>
          <cell r="AK34">
            <v>10.016803155045642</v>
          </cell>
          <cell r="AL34">
            <v>9.2922437331063499</v>
          </cell>
          <cell r="AM34">
            <v>8.6486942906896047</v>
          </cell>
          <cell r="AN34">
            <v>8.0750703760062006</v>
          </cell>
          <cell r="AO34">
            <v>7.5620032360067837</v>
          </cell>
          <cell r="AP34">
            <v>7.1015500690831894</v>
          </cell>
          <cell r="AQ34">
            <v>6.6869566242245124</v>
          </cell>
          <cell r="AR34">
            <v>6.3124621510692567</v>
          </cell>
          <cell r="AS34">
            <v>5.9731387065106247</v>
          </cell>
          <cell r="AT34">
            <v>5.6647584070176134</v>
          </cell>
          <cell r="AU34">
            <v>5.3836834721422768</v>
          </cell>
          <cell r="AV34">
            <v>5.1267749040107891</v>
          </cell>
          <cell r="AW34">
            <v>4.8913164445642128</v>
          </cell>
          <cell r="AX34">
            <v>4.674951089523101</v>
          </cell>
          <cell r="AY34">
            <v>4.4756279488086097</v>
          </cell>
          <cell r="AZ34">
            <v>4.2915576535745084</v>
          </cell>
          <cell r="BA34">
            <v>4.1211748406120821</v>
          </cell>
          <cell r="BB34">
            <v>3.963106511852581</v>
          </cell>
        </row>
        <row r="35">
          <cell r="AC35">
            <v>22</v>
          </cell>
          <cell r="AD35">
            <v>19.660379341506193</v>
          </cell>
          <cell r="AE35">
            <v>17.658048197421294</v>
          </cell>
          <cell r="AF35">
            <v>15.936916637247149</v>
          </cell>
          <cell r="AG35">
            <v>14.451115333734931</v>
          </cell>
          <cell r="AH35">
            <v>13.163002578267562</v>
          </cell>
          <cell r="AI35">
            <v>12.041581718196213</v>
          </cell>
          <cell r="AJ35">
            <v>11.061240497437471</v>
          </cell>
          <cell r="AK35">
            <v>10.200743662079299</v>
          </cell>
          <cell r="AL35">
            <v>9.4424254432168357</v>
          </cell>
          <cell r="AM35">
            <v>8.771540264263276</v>
          </cell>
          <cell r="AN35">
            <v>8.1757390774830636</v>
          </cell>
          <cell r="AO35">
            <v>7.6446457464346294</v>
          </cell>
          <cell r="AP35">
            <v>7.1695133354718497</v>
          </cell>
          <cell r="AQ35">
            <v>6.742944407214484</v>
          </cell>
          <cell r="AR35">
            <v>6.3586627400602236</v>
          </cell>
          <cell r="AS35">
            <v>6.0113264711298484</v>
          </cell>
          <cell r="AT35">
            <v>5.6963747068526605</v>
          </cell>
          <cell r="AU35">
            <v>5.4099012475782011</v>
          </cell>
          <cell r="AV35">
            <v>5.1485503395048653</v>
          </cell>
          <cell r="AW35">
            <v>4.9094303704701767</v>
          </cell>
          <cell r="AX35">
            <v>4.6900422227463654</v>
          </cell>
          <cell r="AY35">
            <v>4.4882196301709918</v>
          </cell>
          <cell r="AZ35">
            <v>4.3020793931500076</v>
          </cell>
          <cell r="BA35">
            <v>4.1299797101710345</v>
          </cell>
          <cell r="BB35">
            <v>3.9704852094820646</v>
          </cell>
        </row>
        <row r="36">
          <cell r="AC36">
            <v>23</v>
          </cell>
          <cell r="AD36">
            <v>20.455821130204139</v>
          </cell>
          <cell r="AE36">
            <v>18.29220411511891</v>
          </cell>
          <cell r="AF36">
            <v>16.443608385676846</v>
          </cell>
          <cell r="AG36">
            <v>14.856841667052818</v>
          </cell>
          <cell r="AH36">
            <v>13.488573884064344</v>
          </cell>
          <cell r="AI36">
            <v>12.30337897943039</v>
          </cell>
          <cell r="AJ36">
            <v>11.272187380782682</v>
          </cell>
          <cell r="AK36">
            <v>10.37105894636972</v>
          </cell>
          <cell r="AL36">
            <v>9.5802068286392998</v>
          </cell>
          <cell r="AM36">
            <v>8.8832184220575243</v>
          </cell>
          <cell r="AN36">
            <v>8.2664316013360928</v>
          </cell>
          <cell r="AO36">
            <v>7.7184337021737752</v>
          </cell>
          <cell r="AP36">
            <v>7.2296578190016367</v>
          </cell>
          <cell r="AQ36">
            <v>6.7920564975565663</v>
          </cell>
          <cell r="AR36">
            <v>6.39883716526976</v>
          </cell>
          <cell r="AS36">
            <v>6.0442469578705591</v>
          </cell>
          <cell r="AT36">
            <v>5.7233971853441545</v>
          </cell>
          <cell r="AU36">
            <v>5.4321197013374585</v>
          </cell>
          <cell r="AV36">
            <v>5.1668490247940051</v>
          </cell>
          <cell r="AW36">
            <v>4.9245253087251477</v>
          </cell>
          <cell r="AX36">
            <v>4.7025142336746812</v>
          </cell>
          <cell r="AY36">
            <v>4.4985406804680261</v>
          </cell>
          <cell r="AZ36">
            <v>4.3106336529674856</v>
          </cell>
          <cell r="BA36">
            <v>4.1370804114282533</v>
          </cell>
          <cell r="BB36">
            <v>3.9763881675856516</v>
          </cell>
        </row>
        <row r="37">
          <cell r="AC37">
            <v>24</v>
          </cell>
          <cell r="AD37">
            <v>21.24338725762788</v>
          </cell>
          <cell r="AE37">
            <v>18.913925603057756</v>
          </cell>
          <cell r="AF37">
            <v>16.935542122016351</v>
          </cell>
          <cell r="AG37">
            <v>15.24696314139694</v>
          </cell>
          <cell r="AH37">
            <v>13.798641794346993</v>
          </cell>
          <cell r="AI37">
            <v>12.550357527764518</v>
          </cell>
          <cell r="AJ37">
            <v>11.469334000731479</v>
          </cell>
          <cell r="AK37">
            <v>10.528758283675666</v>
          </cell>
          <cell r="AL37">
            <v>9.7066117693938523</v>
          </cell>
          <cell r="AM37">
            <v>8.984744020052295</v>
          </cell>
          <cell r="AN37">
            <v>8.3481365777802647</v>
          </cell>
          <cell r="AO37">
            <v>7.7843158055122998</v>
          </cell>
          <cell r="AP37">
            <v>7.282883025665166</v>
          </cell>
          <cell r="AQ37">
            <v>6.8351372785583902</v>
          </cell>
          <cell r="AR37">
            <v>6.4337714480606607</v>
          </cell>
          <cell r="AS37">
            <v>6.0726266878194473</v>
          </cell>
          <cell r="AT37">
            <v>5.7464933208069695</v>
          </cell>
          <cell r="AU37">
            <v>5.450948899438524</v>
          </cell>
          <cell r="AV37">
            <v>5.1822260712554655</v>
          </cell>
          <cell r="AW37">
            <v>4.9371044239376225</v>
          </cell>
          <cell r="AX37">
            <v>4.7128216807228771</v>
          </cell>
          <cell r="AY37">
            <v>4.5070005577606773</v>
          </cell>
          <cell r="AZ37">
            <v>4.3175883357459233</v>
          </cell>
          <cell r="BA37">
            <v>4.1428067834098821</v>
          </cell>
          <cell r="BB37">
            <v>3.9811105340685216</v>
          </cell>
        </row>
        <row r="38">
          <cell r="AC38">
            <v>25</v>
          </cell>
          <cell r="AD38">
            <v>22.023155700621672</v>
          </cell>
          <cell r="AE38">
            <v>19.523456473586034</v>
          </cell>
          <cell r="AF38">
            <v>17.413147691278009</v>
          </cell>
          <cell r="AG38">
            <v>15.622079943650906</v>
          </cell>
          <cell r="AH38">
            <v>14.093944566044758</v>
          </cell>
          <cell r="AI38">
            <v>12.783356158268413</v>
          </cell>
          <cell r="AJ38">
            <v>11.653583178253719</v>
          </cell>
          <cell r="AK38">
            <v>10.674776188588583</v>
          </cell>
          <cell r="AL38">
            <v>9.8225796049484888</v>
          </cell>
          <cell r="AM38">
            <v>9.0770400182293578</v>
          </cell>
          <cell r="AN38">
            <v>8.421744664666905</v>
          </cell>
          <cell r="AO38">
            <v>7.8431391120645539</v>
          </cell>
          <cell r="AP38">
            <v>7.3299849784647479</v>
          </cell>
          <cell r="AQ38">
            <v>6.8729274373319207</v>
          </cell>
          <cell r="AR38">
            <v>6.4641490852701393</v>
          </cell>
          <cell r="AS38">
            <v>6.097091972258144</v>
          </cell>
          <cell r="AT38">
            <v>5.7662336075273251</v>
          </cell>
          <cell r="AU38">
            <v>5.4669058469817999</v>
          </cell>
          <cell r="AV38">
            <v>5.1951479590382066</v>
          </cell>
          <cell r="AW38">
            <v>4.9475870199480187</v>
          </cell>
          <cell r="AX38">
            <v>4.7213402320023787</v>
          </cell>
          <cell r="AY38">
            <v>4.513934883410391</v>
          </cell>
          <cell r="AZ38">
            <v>4.3232425493869293</v>
          </cell>
          <cell r="BA38">
            <v>4.1474248253305497</v>
          </cell>
          <cell r="BB38">
            <v>3.9848884272548171</v>
          </cell>
        </row>
        <row r="39">
          <cell r="AC39">
            <v>26</v>
          </cell>
          <cell r="AD39">
            <v>22.795203663981848</v>
          </cell>
          <cell r="AE39">
            <v>20.121035758417683</v>
          </cell>
          <cell r="AF39">
            <v>17.876842418716521</v>
          </cell>
          <cell r="AG39">
            <v>15.982769176587407</v>
          </cell>
          <cell r="AH39">
            <v>14.375185300995009</v>
          </cell>
          <cell r="AI39">
            <v>13.003166187045673</v>
          </cell>
          <cell r="AJ39">
            <v>11.825778671265157</v>
          </cell>
          <cell r="AK39">
            <v>10.809977952396833</v>
          </cell>
          <cell r="AL39">
            <v>9.928972114631641</v>
          </cell>
          <cell r="AM39">
            <v>9.1609454711175982</v>
          </cell>
          <cell r="AN39">
            <v>8.4880582564566698</v>
          </cell>
          <cell r="AO39">
            <v>7.8956599214862084</v>
          </cell>
          <cell r="AP39">
            <v>7.3716681225351746</v>
          </cell>
          <cell r="AQ39">
            <v>6.9060766994139655</v>
          </cell>
          <cell r="AR39">
            <v>6.4905644219740344</v>
          </cell>
          <cell r="AS39">
            <v>6.1181827347052966</v>
          </cell>
          <cell r="AT39">
            <v>5.7831056474592506</v>
          </cell>
          <cell r="AU39">
            <v>5.4804286838828817</v>
          </cell>
          <cell r="AV39">
            <v>5.2060066882674008</v>
          </cell>
          <cell r="AW39">
            <v>4.9563225166233496</v>
          </cell>
          <cell r="AX39">
            <v>4.7283803570267589</v>
          </cell>
          <cell r="AY39">
            <v>4.5196187568937631</v>
          </cell>
          <cell r="AZ39">
            <v>4.3278394710462837</v>
          </cell>
          <cell r="BA39">
            <v>4.1511490526859269</v>
          </cell>
          <cell r="BB39">
            <v>3.9879107418038537</v>
          </cell>
        </row>
        <row r="40">
          <cell r="AC40">
            <v>27</v>
          </cell>
          <cell r="AD40">
            <v>23.559607588100818</v>
          </cell>
          <cell r="AE40">
            <v>20.706897802370271</v>
          </cell>
          <cell r="AF40">
            <v>18.327031474482055</v>
          </cell>
          <cell r="AG40">
            <v>16.329585746718664</v>
          </cell>
          <cell r="AH40">
            <v>14.643033619995245</v>
          </cell>
          <cell r="AI40">
            <v>13.210534138722334</v>
          </cell>
          <cell r="AJ40">
            <v>11.98670903856557</v>
          </cell>
          <cell r="AK40">
            <v>10.93516477073781</v>
          </cell>
          <cell r="AL40">
            <v>10.026579921680405</v>
          </cell>
          <cell r="AM40">
            <v>9.2372231555614537</v>
          </cell>
          <cell r="AN40">
            <v>8.5478002310420464</v>
          </cell>
          <cell r="AO40">
            <v>7.9425535013269721</v>
          </cell>
          <cell r="AP40">
            <v>7.4085558606505968</v>
          </cell>
          <cell r="AQ40">
            <v>6.9351549994859347</v>
          </cell>
          <cell r="AR40">
            <v>6.5135342799774216</v>
          </cell>
          <cell r="AS40">
            <v>6.1363644264700836</v>
          </cell>
          <cell r="AT40">
            <v>5.7975261944096168</v>
          </cell>
          <cell r="AU40">
            <v>5.4918887151549844</v>
          </cell>
          <cell r="AV40">
            <v>5.2151316708129416</v>
          </cell>
          <cell r="AW40">
            <v>4.9636020971861248</v>
          </cell>
          <cell r="AX40">
            <v>4.7341986421708748</v>
          </cell>
          <cell r="AY40">
            <v>4.5242776695850511</v>
          </cell>
          <cell r="AZ40">
            <v>4.3315768057286856</v>
          </cell>
          <cell r="BA40">
            <v>4.1541524618434904</v>
          </cell>
          <cell r="BB40">
            <v>3.990328593443083</v>
          </cell>
        </row>
        <row r="41">
          <cell r="AC41">
            <v>28</v>
          </cell>
          <cell r="AD41">
            <v>24.31644315653547</v>
          </cell>
          <cell r="AE41">
            <v>21.281272355264978</v>
          </cell>
          <cell r="AF41">
            <v>18.764108227652482</v>
          </cell>
          <cell r="AG41">
            <v>16.663063217998715</v>
          </cell>
          <cell r="AH41">
            <v>14.898127257138327</v>
          </cell>
          <cell r="AI41">
            <v>13.406164281813522</v>
          </cell>
          <cell r="AJ41">
            <v>12.137111250995858</v>
          </cell>
          <cell r="AK41">
            <v>11.051078491423898</v>
          </cell>
          <cell r="AL41">
            <v>10.116128368514133</v>
          </cell>
          <cell r="AM41">
            <v>9.3065665050558657</v>
          </cell>
          <cell r="AN41">
            <v>8.601621829767609</v>
          </cell>
          <cell r="AO41">
            <v>7.9844227690419398</v>
          </cell>
          <cell r="AP41">
            <v>7.441199876681944</v>
          </cell>
          <cell r="AQ41">
            <v>6.96066228025082</v>
          </cell>
          <cell r="AR41">
            <v>6.5335080695455838</v>
          </cell>
          <cell r="AS41">
            <v>6.1520382986811066</v>
          </cell>
          <cell r="AT41">
            <v>5.8098514482133474</v>
          </cell>
          <cell r="AU41">
            <v>5.5016006060635458</v>
          </cell>
          <cell r="AV41">
            <v>5.2227997233722192</v>
          </cell>
          <cell r="AW41">
            <v>4.9696684143217702</v>
          </cell>
          <cell r="AX41">
            <v>4.7390071422899789</v>
          </cell>
          <cell r="AY41">
            <v>4.5280964504795502</v>
          </cell>
          <cell r="AZ41">
            <v>4.3346152892103138</v>
          </cell>
          <cell r="BA41">
            <v>4.1565745660028144</v>
          </cell>
          <cell r="BB41">
            <v>3.9922628747544664</v>
          </cell>
        </row>
        <row r="42">
          <cell r="AC42">
            <v>29</v>
          </cell>
          <cell r="AD42">
            <v>25.065785303500466</v>
          </cell>
          <cell r="AE42">
            <v>21.844384662024485</v>
          </cell>
          <cell r="AF42">
            <v>19.188454589953864</v>
          </cell>
          <cell r="AG42">
            <v>16.983714632691072</v>
          </cell>
          <cell r="AH42">
            <v>15.14107357822698</v>
          </cell>
          <cell r="AI42">
            <v>13.590721020578794</v>
          </cell>
          <cell r="AJ42">
            <v>12.277674066351269</v>
          </cell>
          <cell r="AK42">
            <v>11.158406010577682</v>
          </cell>
          <cell r="AL42">
            <v>10.198282906893699</v>
          </cell>
          <cell r="AM42">
            <v>9.3696059136871508</v>
          </cell>
          <cell r="AN42">
            <v>8.6501097565473959</v>
          </cell>
          <cell r="AO42">
            <v>8.0218060437874463</v>
          </cell>
          <cell r="AP42">
            <v>7.4700883864441989</v>
          </cell>
          <cell r="AQ42">
            <v>6.9830370879393158</v>
          </cell>
          <cell r="AR42">
            <v>6.5508765822135508</v>
          </cell>
          <cell r="AS42">
            <v>6.1655502574837122</v>
          </cell>
          <cell r="AT42">
            <v>5.8203858531738009</v>
          </cell>
          <cell r="AU42">
            <v>5.5098310220877504</v>
          </cell>
          <cell r="AV42">
            <v>5.2292434650186719</v>
          </cell>
          <cell r="AW42">
            <v>4.9747236786014755</v>
          </cell>
          <cell r="AX42">
            <v>4.7429811093305609</v>
          </cell>
          <cell r="AY42">
            <v>4.5312265987537295</v>
          </cell>
          <cell r="AZ42">
            <v>4.3370856009839951</v>
          </cell>
          <cell r="BA42">
            <v>4.1585278758087219</v>
          </cell>
          <cell r="BB42">
            <v>3.9938102998035729</v>
          </cell>
        </row>
        <row r="43">
          <cell r="AC43">
            <v>30</v>
          </cell>
          <cell r="AD43">
            <v>25.807708221287605</v>
          </cell>
          <cell r="AE43">
            <v>22.396455551004397</v>
          </cell>
          <cell r="AF43">
            <v>19.600441349469769</v>
          </cell>
          <cell r="AG43">
            <v>17.292033300664492</v>
          </cell>
          <cell r="AH43">
            <v>15.372451026882837</v>
          </cell>
          <cell r="AI43">
            <v>13.76483115148943</v>
          </cell>
          <cell r="AJ43">
            <v>12.409041183505858</v>
          </cell>
          <cell r="AK43">
            <v>11.257783343127485</v>
          </cell>
          <cell r="AL43">
            <v>10.273654043021743</v>
          </cell>
          <cell r="AM43">
            <v>9.42691446698832</v>
          </cell>
          <cell r="AN43">
            <v>8.693792573466121</v>
          </cell>
          <cell r="AO43">
            <v>8.0551839676673627</v>
          </cell>
          <cell r="AP43">
            <v>7.4956534393311491</v>
          </cell>
          <cell r="AQ43">
            <v>7.0026641122274702</v>
          </cell>
          <cell r="AR43">
            <v>6.5659796367074357</v>
          </cell>
          <cell r="AS43">
            <v>6.1771984978307861</v>
          </cell>
          <cell r="AT43">
            <v>5.8293896180972657</v>
          </cell>
          <cell r="AU43">
            <v>5.5168059509218228</v>
          </cell>
          <cell r="AV43">
            <v>5.2346583739652708</v>
          </cell>
          <cell r="AW43">
            <v>4.9789363988345627</v>
          </cell>
          <cell r="AX43">
            <v>4.7462653796120344</v>
          </cell>
          <cell r="AY43">
            <v>4.5337922940604338</v>
          </cell>
          <cell r="AZ43">
            <v>4.3390939845398329</v>
          </cell>
          <cell r="BA43">
            <v>4.1601031256521948</v>
          </cell>
          <cell r="BB43">
            <v>3.9950482398428586</v>
          </cell>
        </row>
        <row r="44">
          <cell r="AC44">
            <v>31</v>
          </cell>
          <cell r="AD44">
            <v>26.542285367611466</v>
          </cell>
          <cell r="AE44">
            <v>22.937701520592544</v>
          </cell>
          <cell r="AF44">
            <v>20.000428494630849</v>
          </cell>
          <cell r="AG44">
            <v>17.588493558331244</v>
          </cell>
          <cell r="AH44">
            <v>15.59281050179318</v>
          </cell>
          <cell r="AI44">
            <v>13.92908599197116</v>
          </cell>
          <cell r="AJ44">
            <v>12.531814190192391</v>
          </cell>
          <cell r="AK44">
            <v>11.349799391784707</v>
          </cell>
          <cell r="AL44">
            <v>10.342801874331876</v>
          </cell>
          <cell r="AM44">
            <v>9.479013151807564</v>
          </cell>
          <cell r="AN44">
            <v>8.7331464625820932</v>
          </cell>
          <cell r="AO44">
            <v>8.084985685417287</v>
          </cell>
          <cell r="AP44">
            <v>7.5182773799390699</v>
          </cell>
          <cell r="AQ44">
            <v>7.0198808001995348</v>
          </cell>
          <cell r="AR44">
            <v>6.5791127275716832</v>
          </cell>
          <cell r="AS44">
            <v>6.1872400843368851</v>
          </cell>
          <cell r="AT44">
            <v>5.8370851436728772</v>
          </cell>
          <cell r="AU44">
            <v>5.5227169075608664</v>
          </cell>
          <cell r="AV44">
            <v>5.2392087176178741</v>
          </cell>
          <cell r="AW44">
            <v>4.9824469990288023</v>
          </cell>
          <cell r="AX44">
            <v>4.7489796525719292</v>
          </cell>
          <cell r="AY44">
            <v>4.5358953230003562</v>
          </cell>
          <cell r="AZ44">
            <v>4.3407268166990516</v>
          </cell>
          <cell r="BA44">
            <v>4.1613734884291897</v>
          </cell>
          <cell r="BB44">
            <v>3.9960385918742869</v>
          </cell>
        </row>
        <row r="45">
          <cell r="AC45">
            <v>32</v>
          </cell>
          <cell r="AD45">
            <v>27.269589472882657</v>
          </cell>
          <cell r="AE45">
            <v>23.46833482411034</v>
          </cell>
          <cell r="AF45">
            <v>20.388765528767809</v>
          </cell>
          <cell r="AG45">
            <v>17.873551498395425</v>
          </cell>
          <cell r="AH45">
            <v>15.802676668374456</v>
          </cell>
          <cell r="AI45">
            <v>14.084043388652038</v>
          </cell>
          <cell r="AJ45">
            <v>12.646555317936816</v>
          </cell>
          <cell r="AK45">
            <v>11.434999436837693</v>
          </cell>
          <cell r="AL45">
            <v>10.406240251680618</v>
          </cell>
          <cell r="AM45">
            <v>9.5263755925523306</v>
          </cell>
          <cell r="AN45">
            <v>8.7686004167406235</v>
          </cell>
          <cell r="AO45">
            <v>8.1115943619797228</v>
          </cell>
          <cell r="AP45">
            <v>7.5382985663177617</v>
          </cell>
          <cell r="AQ45">
            <v>7.0349831580697675</v>
          </cell>
          <cell r="AR45">
            <v>6.590532806584072</v>
          </cell>
          <cell r="AS45">
            <v>6.1958966244283493</v>
          </cell>
          <cell r="AT45">
            <v>5.843662515959724</v>
          </cell>
          <cell r="AU45">
            <v>5.527726192848192</v>
          </cell>
          <cell r="AV45">
            <v>5.2430325358133398</v>
          </cell>
          <cell r="AW45">
            <v>4.9853724991906683</v>
          </cell>
          <cell r="AX45">
            <v>4.7512228533652312</v>
          </cell>
          <cell r="AY45">
            <v>4.5376191172134064</v>
          </cell>
          <cell r="AZ45">
            <v>4.3420543225195543</v>
          </cell>
          <cell r="BA45">
            <v>4.1623979745396689</v>
          </cell>
          <cell r="BB45">
            <v>3.9968308734994293</v>
          </cell>
        </row>
        <row r="46">
          <cell r="AC46">
            <v>33</v>
          </cell>
          <cell r="AD46">
            <v>27.989692547408573</v>
          </cell>
          <cell r="AE46">
            <v>23.988563553049357</v>
          </cell>
          <cell r="AF46">
            <v>20.765791775502731</v>
          </cell>
          <cell r="AG46">
            <v>18.147645671534065</v>
          </cell>
          <cell r="AH46">
            <v>16.002549207975672</v>
          </cell>
          <cell r="AI46">
            <v>14.230229611935883</v>
          </cell>
          <cell r="AJ46">
            <v>12.753790016763377</v>
          </cell>
          <cell r="AK46">
            <v>11.513888367442307</v>
          </cell>
          <cell r="AL46">
            <v>10.464440597872127</v>
          </cell>
          <cell r="AM46">
            <v>9.5694323568657556</v>
          </cell>
          <cell r="AN46">
            <v>8.800540915982543</v>
          </cell>
          <cell r="AO46">
            <v>8.1353521089104657</v>
          </cell>
          <cell r="AP46">
            <v>7.5560164303696995</v>
          </cell>
          <cell r="AQ46">
            <v>7.0482308404120761</v>
          </cell>
          <cell r="AR46">
            <v>6.6004633100731072</v>
          </cell>
          <cell r="AS46">
            <v>6.2033591589899562</v>
          </cell>
          <cell r="AT46">
            <v>5.849284201674978</v>
          </cell>
          <cell r="AU46">
            <v>5.5319713498713501</v>
          </cell>
          <cell r="AV46">
            <v>5.2462458284145708</v>
          </cell>
          <cell r="AW46">
            <v>4.9878104159922243</v>
          </cell>
          <cell r="AX46">
            <v>4.7530767383183727</v>
          </cell>
          <cell r="AY46">
            <v>4.5390320632896772</v>
          </cell>
          <cell r="AZ46">
            <v>4.3431335955443524</v>
          </cell>
          <cell r="BA46">
            <v>4.1632241730158617</v>
          </cell>
          <cell r="BB46">
            <v>3.9974646987995435</v>
          </cell>
        </row>
        <row r="47">
          <cell r="AC47">
            <v>34</v>
          </cell>
          <cell r="AD47">
            <v>28.702665888523342</v>
          </cell>
          <cell r="AE47">
            <v>24.498591718675836</v>
          </cell>
          <cell r="AF47">
            <v>21.131836675245367</v>
          </cell>
          <cell r="AG47">
            <v>18.411197761090445</v>
          </cell>
          <cell r="AH47">
            <v>16.192904007595878</v>
          </cell>
          <cell r="AI47">
            <v>14.368141143335741</v>
          </cell>
          <cell r="AJ47">
            <v>12.854009361461101</v>
          </cell>
          <cell r="AK47">
            <v>11.586933673557692</v>
          </cell>
          <cell r="AL47">
            <v>10.517835410891859</v>
          </cell>
          <cell r="AM47">
            <v>9.6085748698779589</v>
          </cell>
          <cell r="AN47">
            <v>8.8293161405248135</v>
          </cell>
          <cell r="AO47">
            <v>8.1565643829557732</v>
          </cell>
          <cell r="AP47">
            <v>7.5716959560793802</v>
          </cell>
          <cell r="AQ47">
            <v>7.0598516143965586</v>
          </cell>
          <cell r="AR47">
            <v>6.6090985304983532</v>
          </cell>
          <cell r="AS47">
            <v>6.2097923784396167</v>
          </cell>
          <cell r="AT47">
            <v>5.8540890612606651</v>
          </cell>
          <cell r="AU47">
            <v>5.5355689405689397</v>
          </cell>
          <cell r="AV47">
            <v>5.248946074297959</v>
          </cell>
          <cell r="AW47">
            <v>4.9898420133268528</v>
          </cell>
          <cell r="AX47">
            <v>4.7546088746432833</v>
          </cell>
          <cell r="AY47">
            <v>4.5401902158112106</v>
          </cell>
          <cell r="AZ47">
            <v>4.3440110532880922</v>
          </cell>
          <cell r="BA47">
            <v>4.163890462109566</v>
          </cell>
          <cell r="BB47">
            <v>3.9979717590396349</v>
          </cell>
        </row>
        <row r="48">
          <cell r="AC48">
            <v>35</v>
          </cell>
          <cell r="AD48">
            <v>29.408580087646861</v>
          </cell>
          <cell r="AE48">
            <v>24.998619332035133</v>
          </cell>
          <cell r="AF48">
            <v>21.487220073053756</v>
          </cell>
          <cell r="AG48">
            <v>18.664613231817736</v>
          </cell>
          <cell r="AH48">
            <v>16.374194292948456</v>
          </cell>
          <cell r="AI48">
            <v>14.498246361637491</v>
          </cell>
          <cell r="AJ48">
            <v>12.947672300430934</v>
          </cell>
          <cell r="AK48">
            <v>11.654568216257124</v>
          </cell>
          <cell r="AL48">
            <v>10.56682147788244</v>
          </cell>
          <cell r="AM48">
            <v>9.6441589726163262</v>
          </cell>
          <cell r="AN48">
            <v>8.8552397662385722</v>
          </cell>
          <cell r="AO48">
            <v>8.1755039133533689</v>
          </cell>
          <cell r="AP48">
            <v>7.5855716425481239</v>
          </cell>
          <cell r="AQ48">
            <v>7.0700452757864545</v>
          </cell>
          <cell r="AR48">
            <v>6.616607417824655</v>
          </cell>
          <cell r="AS48">
            <v>6.2153382572755316</v>
          </cell>
          <cell r="AT48">
            <v>5.8581957788552685</v>
          </cell>
          <cell r="AU48">
            <v>5.5386177462448645</v>
          </cell>
          <cell r="AV48">
            <v>5.2512151884856797</v>
          </cell>
          <cell r="AW48">
            <v>4.9915350111057109</v>
          </cell>
          <cell r="AX48">
            <v>4.755875103010978</v>
          </cell>
          <cell r="AY48">
            <v>4.5411395211567305</v>
          </cell>
          <cell r="AZ48">
            <v>4.3447244335675537</v>
          </cell>
          <cell r="BA48">
            <v>4.1644277920238437</v>
          </cell>
          <cell r="BB48">
            <v>3.998377407231708</v>
          </cell>
        </row>
        <row r="49">
          <cell r="AC49">
            <v>36</v>
          </cell>
          <cell r="AD49">
            <v>30.107505037274127</v>
          </cell>
          <cell r="AE49">
            <v>25.488842482387383</v>
          </cell>
          <cell r="AF49">
            <v>21.832252498110442</v>
          </cell>
          <cell r="AG49">
            <v>18.908281953670897</v>
          </cell>
          <cell r="AH49">
            <v>16.546851707569957</v>
          </cell>
          <cell r="AI49">
            <v>14.620987133620275</v>
          </cell>
          <cell r="AJ49">
            <v>13.035207757412088</v>
          </cell>
          <cell r="AK49">
            <v>11.717192792830669</v>
          </cell>
          <cell r="AL49">
            <v>10.611762823745359</v>
          </cell>
          <cell r="AM49">
            <v>9.6765081569239335</v>
          </cell>
          <cell r="AN49">
            <v>8.8785943839987134</v>
          </cell>
          <cell r="AO49">
            <v>8.1924142083512219</v>
          </cell>
          <cell r="AP49">
            <v>7.5978510111045354</v>
          </cell>
          <cell r="AQ49">
            <v>7.0789870840232059</v>
          </cell>
          <cell r="AR49">
            <v>6.6231368850649179</v>
          </cell>
          <cell r="AS49">
            <v>6.2201191873064934</v>
          </cell>
          <cell r="AT49">
            <v>5.8617057938933916</v>
          </cell>
          <cell r="AU49">
            <v>5.541201479868529</v>
          </cell>
          <cell r="AV49">
            <v>5.2531220071308233</v>
          </cell>
          <cell r="AW49">
            <v>4.9929458425880924</v>
          </cell>
          <cell r="AX49">
            <v>4.7569215727363456</v>
          </cell>
          <cell r="AY49">
            <v>4.541917640292402</v>
          </cell>
          <cell r="AZ49">
            <v>4.3453044175345967</v>
          </cell>
          <cell r="BA49">
            <v>4.1648611225998735</v>
          </cell>
          <cell r="BB49">
            <v>3.9987019257853662</v>
          </cell>
        </row>
        <row r="50">
          <cell r="AC50">
            <v>37</v>
          </cell>
          <cell r="AD50">
            <v>30.799509937895177</v>
          </cell>
          <cell r="AE50">
            <v>25.969453414105281</v>
          </cell>
          <cell r="AF50">
            <v>22.167235435058682</v>
          </cell>
          <cell r="AG50">
            <v>19.142578801606636</v>
          </cell>
          <cell r="AH50">
            <v>16.711287340542818</v>
          </cell>
          <cell r="AI50">
            <v>14.736780314736109</v>
          </cell>
          <cell r="AJ50">
            <v>13.117016595712233</v>
          </cell>
          <cell r="AK50">
            <v>11.775178511880251</v>
          </cell>
          <cell r="AL50">
            <v>10.652993416280145</v>
          </cell>
          <cell r="AM50">
            <v>9.7059165062944839</v>
          </cell>
          <cell r="AN50">
            <v>8.8996345801790202</v>
          </cell>
          <cell r="AO50">
            <v>8.2075126860278775</v>
          </cell>
          <cell r="AP50">
            <v>7.6087177089420663</v>
          </cell>
          <cell r="AQ50">
            <v>7.086830775458953</v>
          </cell>
          <cell r="AR50">
            <v>6.628814682665146</v>
          </cell>
          <cell r="AS50">
            <v>6.2242406787124942</v>
          </cell>
          <cell r="AT50">
            <v>5.864705806746489</v>
          </cell>
          <cell r="AU50">
            <v>5.5433910846343473</v>
          </cell>
          <cell r="AV50">
            <v>5.2547243757401878</v>
          </cell>
          <cell r="AW50">
            <v>4.994121535490077</v>
          </cell>
          <cell r="AX50">
            <v>4.7577864237490459</v>
          </cell>
          <cell r="AY50">
            <v>4.5425554428626249</v>
          </cell>
          <cell r="AZ50">
            <v>4.3457759492151196</v>
          </cell>
          <cell r="BA50">
            <v>4.1652105827418335</v>
          </cell>
          <cell r="BB50">
            <v>3.9989615406282932</v>
          </cell>
        </row>
        <row r="51">
          <cell r="AC51">
            <v>38</v>
          </cell>
          <cell r="AD51">
            <v>31.484663304846716</v>
          </cell>
          <cell r="AE51">
            <v>26.440640602064004</v>
          </cell>
          <cell r="AF51">
            <v>22.492461587435614</v>
          </cell>
          <cell r="AG51">
            <v>19.367864232314073</v>
          </cell>
          <cell r="AH51">
            <v>16.867892705278873</v>
          </cell>
          <cell r="AI51">
            <v>14.846019164845387</v>
          </cell>
          <cell r="AJ51">
            <v>13.193473453936665</v>
          </cell>
          <cell r="AK51">
            <v>11.828868992481713</v>
          </cell>
          <cell r="AL51">
            <v>10.690819647963435</v>
          </cell>
          <cell r="AM51">
            <v>9.7326513693586225</v>
          </cell>
          <cell r="AN51">
            <v>8.9185897118729915</v>
          </cell>
          <cell r="AO51">
            <v>8.2209934696677465</v>
          </cell>
          <cell r="AP51">
            <v>7.6183342557009439</v>
          </cell>
          <cell r="AQ51">
            <v>7.0937112065429409</v>
          </cell>
          <cell r="AR51">
            <v>6.6337518979696926</v>
          </cell>
          <cell r="AS51">
            <v>6.2277936885452538</v>
          </cell>
          <cell r="AT51">
            <v>5.8672699202961445</v>
          </cell>
          <cell r="AU51">
            <v>5.5452466818935147</v>
          </cell>
          <cell r="AV51">
            <v>5.2560709039833506</v>
          </cell>
          <cell r="AW51">
            <v>4.9951012795750644</v>
          </cell>
          <cell r="AX51">
            <v>4.7585011766521035</v>
          </cell>
          <cell r="AY51">
            <v>4.5430782318546106</v>
          </cell>
          <cell r="AZ51">
            <v>4.3461593083049745</v>
          </cell>
          <cell r="BA51">
            <v>4.1654924054369635</v>
          </cell>
          <cell r="BB51">
            <v>3.9991692325026342</v>
          </cell>
        </row>
        <row r="52">
          <cell r="AC52">
            <v>39</v>
          </cell>
          <cell r="AD52">
            <v>32.163032975095739</v>
          </cell>
          <cell r="AE52">
            <v>26.902588825552936</v>
          </cell>
          <cell r="AF52">
            <v>22.808215133432636</v>
          </cell>
          <cell r="AG52">
            <v>19.58448483876353</v>
          </cell>
          <cell r="AH52">
            <v>17.017040671694165</v>
          </cell>
          <cell r="AI52">
            <v>14.949074683816402</v>
          </cell>
          <cell r="AJ52">
            <v>13.264928461623052</v>
          </cell>
          <cell r="AK52">
            <v>11.87858240044603</v>
          </cell>
          <cell r="AL52">
            <v>10.725522612810492</v>
          </cell>
          <cell r="AM52">
            <v>9.7569557903260211</v>
          </cell>
          <cell r="AN52">
            <v>8.9356664070927838</v>
          </cell>
          <cell r="AO52">
            <v>8.2330298836319162</v>
          </cell>
          <cell r="AP52">
            <v>7.626844474071631</v>
          </cell>
          <cell r="AQ52">
            <v>7.0997466724060878</v>
          </cell>
          <cell r="AR52">
            <v>6.6380451286692974</v>
          </cell>
          <cell r="AS52">
            <v>6.2308566280562534</v>
          </cell>
          <cell r="AT52">
            <v>5.8694614703385843</v>
          </cell>
          <cell r="AU52">
            <v>5.5468192219436565</v>
          </cell>
          <cell r="AV52">
            <v>5.2572024403221436</v>
          </cell>
          <cell r="AW52">
            <v>4.9959177329792199</v>
          </cell>
          <cell r="AX52">
            <v>4.7590918815306642</v>
          </cell>
          <cell r="AY52">
            <v>4.5435067474218123</v>
          </cell>
          <cell r="AZ52">
            <v>4.3464709823617689</v>
          </cell>
          <cell r="BA52">
            <v>4.1657196818040028</v>
          </cell>
          <cell r="BB52">
            <v>3.9993353860021075</v>
          </cell>
        </row>
        <row r="53">
          <cell r="AC53">
            <v>40</v>
          </cell>
          <cell r="AD53">
            <v>32.834686113956195</v>
          </cell>
          <cell r="AE53">
            <v>27.35547924073818</v>
          </cell>
          <cell r="AF53">
            <v>23.114771974206437</v>
          </cell>
          <cell r="AG53">
            <v>19.792773883426474</v>
          </cell>
          <cell r="AH53">
            <v>17.159086353994443</v>
          </cell>
          <cell r="AI53">
            <v>15.046296871524907</v>
          </cell>
          <cell r="AJ53">
            <v>13.331708842638367</v>
          </cell>
          <cell r="AK53">
            <v>11.924613333746326</v>
          </cell>
          <cell r="AL53">
            <v>10.757360195238983</v>
          </cell>
          <cell r="AM53">
            <v>9.7790507184781994</v>
          </cell>
          <cell r="AN53">
            <v>8.9510508172007075</v>
          </cell>
          <cell r="AO53">
            <v>8.2437766818142126</v>
          </cell>
          <cell r="AP53">
            <v>7.6343756407713554</v>
          </cell>
          <cell r="AQ53">
            <v>7.1050409407070942</v>
          </cell>
          <cell r="AR53">
            <v>6.641778372755911</v>
          </cell>
          <cell r="AS53">
            <v>6.2334970931519429</v>
          </cell>
          <cell r="AT53">
            <v>5.871334590032979</v>
          </cell>
          <cell r="AU53">
            <v>5.5481518830030989</v>
          </cell>
          <cell r="AV53">
            <v>5.2581533111950787</v>
          </cell>
          <cell r="AW53">
            <v>4.9965981108160165</v>
          </cell>
          <cell r="AX53">
            <v>4.759580067380714</v>
          </cell>
          <cell r="AY53">
            <v>4.54385798969001</v>
          </cell>
          <cell r="AZ53">
            <v>4.3467243759038769</v>
          </cell>
          <cell r="BA53">
            <v>4.1659029691967762</v>
          </cell>
          <cell r="BB53">
            <v>3.9994683088016862</v>
          </cell>
        </row>
        <row r="54">
          <cell r="AC54">
            <v>41</v>
          </cell>
          <cell r="AD54">
            <v>33.499689221738812</v>
          </cell>
          <cell r="AE54">
            <v>27.799489451704098</v>
          </cell>
          <cell r="AF54">
            <v>23.412399974957712</v>
          </cell>
          <cell r="AG54">
            <v>19.993051810986994</v>
          </cell>
          <cell r="AH54">
            <v>17.294367956185184</v>
          </cell>
          <cell r="AI54">
            <v>15.138015916532931</v>
          </cell>
          <cell r="AJ54">
            <v>13.394120413680715</v>
          </cell>
          <cell r="AK54">
            <v>11.967234568283633</v>
          </cell>
          <cell r="AL54">
            <v>10.786568986457784</v>
          </cell>
          <cell r="AM54">
            <v>9.7991370167983636</v>
          </cell>
          <cell r="AN54">
            <v>8.9649106461267625</v>
          </cell>
          <cell r="AO54">
            <v>8.2533720373341168</v>
          </cell>
          <cell r="AP54">
            <v>7.6410403900631456</v>
          </cell>
          <cell r="AQ54">
            <v>7.1096850357079786</v>
          </cell>
          <cell r="AR54">
            <v>6.6450246719616617</v>
          </cell>
          <cell r="AS54">
            <v>6.2357733561654678</v>
          </cell>
          <cell r="AT54">
            <v>5.8729355470367341</v>
          </cell>
          <cell r="AU54">
            <v>5.5492812567822876</v>
          </cell>
          <cell r="AV54">
            <v>5.2589523623488059</v>
          </cell>
          <cell r="AW54">
            <v>4.9971650923466804</v>
          </cell>
          <cell r="AX54">
            <v>4.7599835267609212</v>
          </cell>
          <cell r="AY54">
            <v>4.5441458931885323</v>
          </cell>
          <cell r="AZ54">
            <v>4.346930386913721</v>
          </cell>
          <cell r="BA54">
            <v>4.1660507816103038</v>
          </cell>
          <cell r="BB54">
            <v>3.9995746470413489</v>
          </cell>
        </row>
        <row r="55">
          <cell r="AC55">
            <v>42</v>
          </cell>
          <cell r="AD55">
            <v>34.158108140335464</v>
          </cell>
          <cell r="AE55">
            <v>28.234793580102053</v>
          </cell>
          <cell r="AF55">
            <v>23.701359198988065</v>
          </cell>
          <cell r="AG55">
            <v>20.18562674133365</v>
          </cell>
          <cell r="AH55">
            <v>17.423207577319221</v>
          </cell>
          <cell r="AI55">
            <v>15.224543317483896</v>
          </cell>
          <cell r="AJ55">
            <v>13.452448984748333</v>
          </cell>
          <cell r="AK55">
            <v>12.006698674336699</v>
          </cell>
          <cell r="AL55">
            <v>10.813366042621819</v>
          </cell>
          <cell r="AM55">
            <v>9.8173972879985119</v>
          </cell>
          <cell r="AN55">
            <v>8.97739697849258</v>
          </cell>
          <cell r="AO55">
            <v>8.2619393190483201</v>
          </cell>
          <cell r="AP55">
            <v>7.64693839828597</v>
          </cell>
          <cell r="AQ55">
            <v>7.1137588032526118</v>
          </cell>
          <cell r="AR55">
            <v>6.647847540836227</v>
          </cell>
          <cell r="AS55">
            <v>6.2377356518667826</v>
          </cell>
          <cell r="AT55">
            <v>5.8743038863561825</v>
          </cell>
          <cell r="AU55">
            <v>5.5502383532053283</v>
          </cell>
          <cell r="AV55">
            <v>5.2596238339065593</v>
          </cell>
          <cell r="AW55">
            <v>4.997637576955567</v>
          </cell>
          <cell r="AX55">
            <v>4.7603169642652237</v>
          </cell>
          <cell r="AY55">
            <v>4.5443818796627315</v>
          </cell>
          <cell r="AZ55">
            <v>4.3470978755396104</v>
          </cell>
          <cell r="BA55">
            <v>4.1661699851695992</v>
          </cell>
          <cell r="BB55">
            <v>3.999659717633079</v>
          </cell>
        </row>
        <row r="56">
          <cell r="AC56">
            <v>43</v>
          </cell>
          <cell r="AD56">
            <v>34.810008059738067</v>
          </cell>
          <cell r="AE56">
            <v>28.661562333433384</v>
          </cell>
          <cell r="AF56">
            <v>23.981902134939872</v>
          </cell>
          <cell r="AG56">
            <v>20.370794943590045</v>
          </cell>
          <cell r="AH56">
            <v>17.545911978399257</v>
          </cell>
          <cell r="AI56">
            <v>15.306172941022544</v>
          </cell>
          <cell r="AJ56">
            <v>13.506961667989096</v>
          </cell>
          <cell r="AK56">
            <v>12.04323951327472</v>
          </cell>
          <cell r="AL56">
            <v>10.837950497818182</v>
          </cell>
          <cell r="AM56">
            <v>9.8339975345441015</v>
          </cell>
          <cell r="AN56">
            <v>8.988645926569891</v>
          </cell>
          <cell r="AO56">
            <v>8.269588677721714</v>
          </cell>
          <cell r="AP56">
            <v>7.6521578745893537</v>
          </cell>
          <cell r="AQ56">
            <v>7.1173322835549229</v>
          </cell>
          <cell r="AR56">
            <v>6.650302209422807</v>
          </cell>
          <cell r="AS56">
            <v>6.2394272860920541</v>
          </cell>
          <cell r="AT56">
            <v>5.875473407142036</v>
          </cell>
          <cell r="AU56">
            <v>5.5510494518689217</v>
          </cell>
          <cell r="AV56">
            <v>5.2601880957197977</v>
          </cell>
          <cell r="AW56">
            <v>4.9980313141296389</v>
          </cell>
          <cell r="AX56">
            <v>4.7605925324505991</v>
          </cell>
          <cell r="AY56">
            <v>4.54457531119896</v>
          </cell>
          <cell r="AZ56">
            <v>4.3472340451541545</v>
          </cell>
          <cell r="BA56">
            <v>4.166266117072257</v>
          </cell>
          <cell r="BB56">
            <v>3.9997277741064634</v>
          </cell>
        </row>
        <row r="57">
          <cell r="AC57">
            <v>44</v>
          </cell>
          <cell r="AD57">
            <v>35.455453524493137</v>
          </cell>
          <cell r="AE57">
            <v>29.079963071993518</v>
          </cell>
          <cell r="AF57">
            <v>24.254273917417347</v>
          </cell>
          <cell r="AG57">
            <v>20.548841291913508</v>
          </cell>
          <cell r="AH57">
            <v>17.6627733127612</v>
          </cell>
          <cell r="AI57">
            <v>15.38318201983259</v>
          </cell>
          <cell r="AJ57">
            <v>13.55790810092439</v>
          </cell>
          <cell r="AK57">
            <v>12.077073623402519</v>
          </cell>
          <cell r="AL57">
            <v>10.860505043869892</v>
          </cell>
          <cell r="AM57">
            <v>9.8490886677673668</v>
          </cell>
          <cell r="AN57">
            <v>8.9987801140269301</v>
          </cell>
          <cell r="AO57">
            <v>8.2764184622515309</v>
          </cell>
          <cell r="AP57">
            <v>7.6567768801675706</v>
          </cell>
          <cell r="AQ57">
            <v>7.1204669153990547</v>
          </cell>
          <cell r="AR57">
            <v>6.6524367038459191</v>
          </cell>
          <cell r="AS57">
            <v>6.2408855914586665</v>
          </cell>
          <cell r="AT57">
            <v>5.876472997557296</v>
          </cell>
          <cell r="AU57">
            <v>5.5517368236177305</v>
          </cell>
          <cell r="AV57">
            <v>5.2606622653107546</v>
          </cell>
          <cell r="AW57">
            <v>4.9983594284413657</v>
          </cell>
          <cell r="AX57">
            <v>4.7608202747525601</v>
          </cell>
          <cell r="AY57">
            <v>4.544733861638492</v>
          </cell>
          <cell r="AZ57">
            <v>4.3473447521578494</v>
          </cell>
          <cell r="BA57">
            <v>4.1663436428002081</v>
          </cell>
          <cell r="BB57">
            <v>3.9997822192851706</v>
          </cell>
        </row>
        <row r="58">
          <cell r="AC58">
            <v>45</v>
          </cell>
          <cell r="AD58">
            <v>36.09450844009222</v>
          </cell>
          <cell r="AE58">
            <v>29.490159874503448</v>
          </cell>
          <cell r="AF58">
            <v>24.518712541181895</v>
          </cell>
          <cell r="AG58">
            <v>20.720039703762989</v>
          </cell>
          <cell r="AH58">
            <v>17.774069821677333</v>
          </cell>
          <cell r="AI58">
            <v>15.455832094181689</v>
          </cell>
          <cell r="AJ58">
            <v>13.60552158964896</v>
          </cell>
          <cell r="AK58">
            <v>12.10840150315048</v>
          </cell>
          <cell r="AL58">
            <v>10.881197287954029</v>
          </cell>
          <cell r="AM58">
            <v>9.8628078797885141</v>
          </cell>
          <cell r="AN58">
            <v>9.0079100126368736</v>
          </cell>
          <cell r="AO58">
            <v>8.2825164841531524</v>
          </cell>
          <cell r="AP58">
            <v>7.660864495723513</v>
          </cell>
          <cell r="AQ58">
            <v>7.1232165924553117</v>
          </cell>
          <cell r="AR58">
            <v>6.6542927859529728</v>
          </cell>
          <cell r="AS58">
            <v>6.2421427512574708</v>
          </cell>
          <cell r="AT58">
            <v>5.8773273483395689</v>
          </cell>
          <cell r="AU58">
            <v>5.5523193420489241</v>
          </cell>
          <cell r="AV58">
            <v>5.2610607271518939</v>
          </cell>
          <cell r="AW58">
            <v>4.9986328570344716</v>
          </cell>
          <cell r="AX58">
            <v>4.761008491531042</v>
          </cell>
          <cell r="AY58">
            <v>4.5448638210151575</v>
          </cell>
          <cell r="AZ58">
            <v>4.3474347578519099</v>
          </cell>
          <cell r="BA58">
            <v>4.1664061635485545</v>
          </cell>
          <cell r="BB58">
            <v>3.9998257754281363</v>
          </cell>
        </row>
        <row r="59">
          <cell r="AC59">
            <v>46</v>
          </cell>
          <cell r="AD59">
            <v>36.727236079299239</v>
          </cell>
          <cell r="AE59">
            <v>29.892313602454362</v>
          </cell>
          <cell r="AF59">
            <v>24.775449069108632</v>
          </cell>
          <cell r="AG59">
            <v>20.884653561310564</v>
          </cell>
          <cell r="AH59">
            <v>17.880066496835557</v>
          </cell>
          <cell r="AI59">
            <v>15.524369900171406</v>
          </cell>
          <cell r="AJ59">
            <v>13.650020177242018</v>
          </cell>
          <cell r="AK59">
            <v>12.137408799213409</v>
          </cell>
          <cell r="AL59">
            <v>10.900180998122964</v>
          </cell>
          <cell r="AM59">
            <v>9.8752798907168309</v>
          </cell>
          <cell r="AN59">
            <v>9.0161351465197068</v>
          </cell>
          <cell r="AO59">
            <v>8.2879611465653138</v>
          </cell>
          <cell r="AP59">
            <v>7.6644818546225784</v>
          </cell>
          <cell r="AQ59">
            <v>7.12562858987308</v>
          </cell>
          <cell r="AR59">
            <v>6.655906770393889</v>
          </cell>
          <cell r="AS59">
            <v>6.2432265097047166</v>
          </cell>
          <cell r="AT59">
            <v>5.8780575626833924</v>
          </cell>
          <cell r="AU59">
            <v>5.5528130017363759</v>
          </cell>
          <cell r="AV59">
            <v>5.2613955690352059</v>
          </cell>
          <cell r="AW59">
            <v>4.9988607141953931</v>
          </cell>
          <cell r="AX59">
            <v>4.7611640425876374</v>
          </cell>
          <cell r="AY59">
            <v>4.5449703450943915</v>
          </cell>
          <cell r="AZ59">
            <v>4.3475079332129347</v>
          </cell>
          <cell r="BA59">
            <v>4.166456583506899</v>
          </cell>
          <cell r="BB59">
            <v>3.9998606203425093</v>
          </cell>
        </row>
        <row r="60">
          <cell r="AC60">
            <v>47</v>
          </cell>
          <cell r="AD60">
            <v>37.353699088415063</v>
          </cell>
          <cell r="AE60">
            <v>30.286581963190546</v>
          </cell>
          <cell r="AF60">
            <v>25.024707834086055</v>
          </cell>
          <cell r="AG60">
            <v>21.042936116644775</v>
          </cell>
          <cell r="AH60">
            <v>17.981015711271958</v>
          </cell>
          <cell r="AI60">
            <v>15.589028207708871</v>
          </cell>
          <cell r="AJ60">
            <v>13.691607642282261</v>
          </cell>
          <cell r="AK60">
            <v>12.16426740667908</v>
          </cell>
          <cell r="AL60">
            <v>10.917597245984371</v>
          </cell>
          <cell r="AM60">
            <v>9.8866180824698464</v>
          </cell>
          <cell r="AN60">
            <v>9.023545177044781</v>
          </cell>
          <cell r="AO60">
            <v>8.2928224522904603</v>
          </cell>
          <cell r="AP60">
            <v>7.6676830571881212</v>
          </cell>
          <cell r="AQ60">
            <v>7.1277443770816493</v>
          </cell>
          <cell r="AR60">
            <v>6.6573102351251219</v>
          </cell>
          <cell r="AS60">
            <v>6.2441607842282041</v>
          </cell>
          <cell r="AT60">
            <v>5.8786816775071724</v>
          </cell>
          <cell r="AU60">
            <v>5.5532313574037087</v>
          </cell>
          <cell r="AV60">
            <v>5.2616769487690798</v>
          </cell>
          <cell r="AW60">
            <v>4.999050595162827</v>
          </cell>
          <cell r="AX60">
            <v>4.7612925971798665</v>
          </cell>
          <cell r="AY60">
            <v>4.5450576599134358</v>
          </cell>
          <cell r="AZ60">
            <v>4.3475674253763694</v>
          </cell>
          <cell r="BA60">
            <v>4.1664972447636286</v>
          </cell>
          <cell r="BB60">
            <v>3.9998884962740076</v>
          </cell>
        </row>
        <row r="61">
          <cell r="AC61">
            <v>48</v>
          </cell>
          <cell r="AD61">
            <v>37.97395949348028</v>
          </cell>
          <cell r="AE61">
            <v>30.673119571755443</v>
          </cell>
          <cell r="AF61">
            <v>25.266706635035003</v>
          </cell>
          <cell r="AG61">
            <v>21.195130881389208</v>
          </cell>
          <cell r="AH61">
            <v>18.077157820259007</v>
          </cell>
          <cell r="AI61">
            <v>15.650026611046107</v>
          </cell>
          <cell r="AJ61">
            <v>13.730474432039495</v>
          </cell>
          <cell r="AK61">
            <v>12.189136487665817</v>
          </cell>
          <cell r="AL61">
            <v>10.933575455031532</v>
          </cell>
          <cell r="AM61">
            <v>9.8969255295180432</v>
          </cell>
          <cell r="AN61">
            <v>9.0302208802205222</v>
          </cell>
          <cell r="AO61">
            <v>8.2971629038307668</v>
          </cell>
          <cell r="AP61">
            <v>7.6705159798124969</v>
          </cell>
          <cell r="AQ61">
            <v>7.1296003307733766</v>
          </cell>
          <cell r="AR61">
            <v>6.6585306392392365</v>
          </cell>
          <cell r="AS61">
            <v>6.2449661933001757</v>
          </cell>
          <cell r="AT61">
            <v>5.8792151089804898</v>
          </cell>
          <cell r="AU61">
            <v>5.5535858961048383</v>
          </cell>
          <cell r="AV61">
            <v>5.2619134023269583</v>
          </cell>
          <cell r="AW61">
            <v>4.999208829302356</v>
          </cell>
          <cell r="AX61">
            <v>4.7613988406445173</v>
          </cell>
          <cell r="AY61">
            <v>4.5451292294372418</v>
          </cell>
          <cell r="AZ61">
            <v>4.3476157929889183</v>
          </cell>
          <cell r="BA61">
            <v>4.1665300360997</v>
          </cell>
          <cell r="BB61">
            <v>3.999910797019206</v>
          </cell>
        </row>
        <row r="62">
          <cell r="AC62">
            <v>49</v>
          </cell>
          <cell r="AD62">
            <v>38.58807870641612</v>
          </cell>
          <cell r="AE62">
            <v>31.052078011524941</v>
          </cell>
          <cell r="AF62">
            <v>25.501656927218448</v>
          </cell>
          <cell r="AG62">
            <v>21.341472001335777</v>
          </cell>
          <cell r="AH62">
            <v>18.168721733580007</v>
          </cell>
          <cell r="AI62">
            <v>15.707572274571797</v>
          </cell>
          <cell r="AJ62">
            <v>13.766798534616351</v>
          </cell>
          <cell r="AK62">
            <v>12.212163414505383</v>
          </cell>
          <cell r="AL62">
            <v>10.948234362414249</v>
          </cell>
          <cell r="AM62">
            <v>9.9062959359254936</v>
          </cell>
          <cell r="AN62">
            <v>9.036235027225695</v>
          </cell>
          <cell r="AO62">
            <v>8.3010383069917566</v>
          </cell>
          <cell r="AP62">
            <v>7.6730229909845109</v>
          </cell>
          <cell r="AQ62">
            <v>7.1312283603275226</v>
          </cell>
          <cell r="AR62">
            <v>6.6595918602080317</v>
          </cell>
          <cell r="AS62">
            <v>6.2456605114656689</v>
          </cell>
          <cell r="AT62">
            <v>5.879671033316658</v>
          </cell>
          <cell r="AU62">
            <v>5.5538863526312188</v>
          </cell>
          <cell r="AV62">
            <v>5.2621121027957631</v>
          </cell>
          <cell r="AW62">
            <v>4.9993406910852967</v>
          </cell>
          <cell r="AX62">
            <v>4.7614866451607583</v>
          </cell>
          <cell r="AY62">
            <v>4.5451878929813461</v>
          </cell>
          <cell r="AZ62">
            <v>4.3476551162511532</v>
          </cell>
          <cell r="BA62">
            <v>4.1665564807255642</v>
          </cell>
          <cell r="BB62">
            <v>3.9999286376153647</v>
          </cell>
        </row>
        <row r="63">
          <cell r="AC63">
            <v>50</v>
          </cell>
          <cell r="AD63">
            <v>39.196117531105081</v>
          </cell>
          <cell r="AE63">
            <v>31.423605893651903</v>
          </cell>
          <cell r="AF63">
            <v>25.7297640070082</v>
          </cell>
          <cell r="AG63">
            <v>21.482184616669016</v>
          </cell>
          <cell r="AH63">
            <v>18.255925460552387</v>
          </cell>
          <cell r="AI63">
            <v>15.761860636388489</v>
          </cell>
          <cell r="AJ63">
            <v>13.800746294033974</v>
          </cell>
          <cell r="AK63">
            <v>12.233484643060541</v>
          </cell>
          <cell r="AL63">
            <v>10.961682901297477</v>
          </cell>
          <cell r="AM63">
            <v>9.9148144872049944</v>
          </cell>
          <cell r="AN63">
            <v>9.0416531776808071</v>
          </cell>
          <cell r="AO63">
            <v>8.304498488385498</v>
          </cell>
          <cell r="AP63">
            <v>7.6752415849420457</v>
          </cell>
          <cell r="AQ63">
            <v>7.1326564564276511</v>
          </cell>
          <cell r="AR63">
            <v>6.6605146610504615</v>
          </cell>
          <cell r="AS63">
            <v>6.2462590616083347</v>
          </cell>
          <cell r="AT63">
            <v>5.8800607122364594</v>
          </cell>
          <cell r="AU63">
            <v>5.5541409768061181</v>
          </cell>
          <cell r="AV63">
            <v>5.2622790779796329</v>
          </cell>
          <cell r="AW63">
            <v>4.9994505759044134</v>
          </cell>
          <cell r="AX63">
            <v>4.7615592108766602</v>
          </cell>
          <cell r="AY63">
            <v>4.5452359778535625</v>
          </cell>
          <cell r="AZ63">
            <v>4.3476870863830515</v>
          </cell>
          <cell r="BA63">
            <v>4.1665778070367461</v>
          </cell>
          <cell r="BB63">
            <v>3.9999429100922916</v>
          </cell>
        </row>
        <row r="64">
          <cell r="AC64">
            <v>51</v>
          </cell>
          <cell r="AD64">
            <v>39.798136169410959</v>
          </cell>
          <cell r="AE64">
            <v>31.787848915344998</v>
          </cell>
          <cell r="AF64">
            <v>25.9512271912701</v>
          </cell>
          <cell r="AG64">
            <v>21.617485208335591</v>
          </cell>
          <cell r="AH64">
            <v>18.338976629097512</v>
          </cell>
          <cell r="AI64">
            <v>15.813076072064613</v>
          </cell>
          <cell r="AJ64">
            <v>13.832473171994367</v>
          </cell>
          <cell r="AK64">
            <v>12.253226521352353</v>
          </cell>
          <cell r="AL64">
            <v>10.974021010364659</v>
          </cell>
          <cell r="AM64">
            <v>9.9225586247318116</v>
          </cell>
          <cell r="AN64">
            <v>9.0465343943070327</v>
          </cell>
          <cell r="AO64">
            <v>8.3075879360584803</v>
          </cell>
          <cell r="AP64">
            <v>7.677204942426588</v>
          </cell>
          <cell r="AQ64">
            <v>7.1339091723049579</v>
          </cell>
          <cell r="AR64">
            <v>6.661317096565619</v>
          </cell>
          <cell r="AS64">
            <v>6.2467750531106336</v>
          </cell>
          <cell r="AT64">
            <v>5.8803937711422725</v>
          </cell>
          <cell r="AU64">
            <v>5.5543567600051844</v>
          </cell>
          <cell r="AV64">
            <v>5.2624193932601964</v>
          </cell>
          <cell r="AW64">
            <v>4.9995421465870118</v>
          </cell>
          <cell r="AX64">
            <v>4.7616191825426943</v>
          </cell>
          <cell r="AY64">
            <v>4.5452753916832478</v>
          </cell>
          <cell r="AZ64">
            <v>4.3477130783602043</v>
          </cell>
          <cell r="BA64">
            <v>4.1665950056747949</v>
          </cell>
          <cell r="BB64">
            <v>3.9999543280738332</v>
          </cell>
        </row>
        <row r="65">
          <cell r="AC65">
            <v>52</v>
          </cell>
          <cell r="AD65">
            <v>40.394194227139565</v>
          </cell>
          <cell r="AE65">
            <v>32.144949917004908</v>
          </cell>
          <cell r="AF65">
            <v>26.166239991524368</v>
          </cell>
          <cell r="AG65">
            <v>21.747581931091915</v>
          </cell>
          <cell r="AH65">
            <v>18.41807298009287</v>
          </cell>
          <cell r="AI65">
            <v>15.861392520815674</v>
          </cell>
          <cell r="AJ65">
            <v>13.86212445980782</v>
          </cell>
          <cell r="AK65">
            <v>12.271506038289216</v>
          </cell>
          <cell r="AL65">
            <v>10.985340376481338</v>
          </cell>
          <cell r="AM65">
            <v>9.9295987497561917</v>
          </cell>
          <cell r="AN65">
            <v>9.0509318867630935</v>
          </cell>
          <cell r="AO65">
            <v>8.3103463714807866</v>
          </cell>
          <cell r="AP65">
            <v>7.6789424269261843</v>
          </cell>
          <cell r="AQ65">
            <v>7.1350080458815412</v>
          </cell>
          <cell r="AR65">
            <v>6.662014866578799</v>
          </cell>
          <cell r="AS65">
            <v>6.2472198733712361</v>
          </cell>
          <cell r="AT65">
            <v>5.8806784368737377</v>
          </cell>
          <cell r="AU65">
            <v>5.5545396271230381</v>
          </cell>
          <cell r="AV65">
            <v>5.2625373052606683</v>
          </cell>
          <cell r="AW65">
            <v>4.999618455489176</v>
          </cell>
          <cell r="AX65">
            <v>4.7616687459030533</v>
          </cell>
          <cell r="AY65">
            <v>4.5453076981010225</v>
          </cell>
          <cell r="AZ65">
            <v>4.3477342100489462</v>
          </cell>
          <cell r="BA65">
            <v>4.1666088755441901</v>
          </cell>
          <cell r="BB65">
            <v>3.9999634624590668</v>
          </cell>
        </row>
        <row r="66">
          <cell r="AC66">
            <v>53</v>
          </cell>
          <cell r="AD66">
            <v>40.984350719940153</v>
          </cell>
          <cell r="AE66">
            <v>32.495048938240096</v>
          </cell>
          <cell r="AF66">
            <v>26.374990283033366</v>
          </cell>
          <cell r="AG66">
            <v>21.872674933742228</v>
          </cell>
          <cell r="AH66">
            <v>18.493402838183684</v>
          </cell>
          <cell r="AI66">
            <v>15.9069740762412</v>
          </cell>
          <cell r="AJ66">
            <v>13.889835943745625</v>
          </cell>
          <cell r="AK66">
            <v>12.288431516934459</v>
          </cell>
          <cell r="AL66">
            <v>10.995725116037924</v>
          </cell>
          <cell r="AM66">
            <v>9.9359988634147207</v>
          </cell>
          <cell r="AN66">
            <v>9.0548935916784625</v>
          </cell>
          <cell r="AO66">
            <v>8.3128092602507007</v>
          </cell>
          <cell r="AP66">
            <v>7.6804800238284816</v>
          </cell>
          <cell r="AQ66">
            <v>7.1359719700715276</v>
          </cell>
          <cell r="AR66">
            <v>6.662621623111999</v>
          </cell>
          <cell r="AS66">
            <v>6.2476033391131347</v>
          </cell>
          <cell r="AT66">
            <v>5.8809217409177243</v>
          </cell>
          <cell r="AU66">
            <v>5.5546945992568117</v>
          </cell>
          <cell r="AV66">
            <v>5.2626363909753522</v>
          </cell>
          <cell r="AW66">
            <v>4.9996820462409808</v>
          </cell>
          <cell r="AX66">
            <v>4.7617097073578956</v>
          </cell>
          <cell r="AY66">
            <v>4.5453341787713297</v>
          </cell>
          <cell r="AZ66">
            <v>4.3477513902836966</v>
          </cell>
          <cell r="BA66">
            <v>4.1666200609227335</v>
          </cell>
          <cell r="BB66">
            <v>3.9999707699672533</v>
          </cell>
        </row>
        <row r="67">
          <cell r="AC67">
            <v>54</v>
          </cell>
          <cell r="AD67">
            <v>41.568664079148682</v>
          </cell>
          <cell r="AE67">
            <v>32.838283272784416</v>
          </cell>
          <cell r="AF67">
            <v>26.577660468964435</v>
          </cell>
          <cell r="AG67">
            <v>21.992956667059833</v>
          </cell>
          <cell r="AH67">
            <v>18.565145560174937</v>
          </cell>
          <cell r="AI67">
            <v>15.949975543623774</v>
          </cell>
          <cell r="AJ67">
            <v>13.915734526865069</v>
          </cell>
          <cell r="AK67">
            <v>12.304103256420795</v>
          </cell>
          <cell r="AL67">
            <v>11.005252400034792</v>
          </cell>
          <cell r="AM67">
            <v>9.9418171485588367</v>
          </cell>
          <cell r="AN67">
            <v>9.0584626952058223</v>
          </cell>
          <cell r="AO67">
            <v>8.3150082680809838</v>
          </cell>
          <cell r="AP67">
            <v>7.6818407290517543</v>
          </cell>
          <cell r="AQ67">
            <v>7.1368175176066027</v>
          </cell>
          <cell r="AR67">
            <v>6.6631492374886951</v>
          </cell>
          <cell r="AS67">
            <v>6.2479339130285645</v>
          </cell>
          <cell r="AT67">
            <v>5.8811296930920722</v>
          </cell>
          <cell r="AU67">
            <v>5.5548259315735695</v>
          </cell>
          <cell r="AV67">
            <v>5.2627196562818082</v>
          </cell>
          <cell r="AW67">
            <v>4.9997350385341504</v>
          </cell>
          <cell r="AX67">
            <v>4.7617435597999132</v>
          </cell>
          <cell r="AY67">
            <v>4.5453558842387949</v>
          </cell>
          <cell r="AZ67">
            <v>4.3477653579542244</v>
          </cell>
          <cell r="BA67">
            <v>4.166629081389301</v>
          </cell>
          <cell r="BB67">
            <v>3.9999766159738028</v>
          </cell>
        </row>
        <row r="68">
          <cell r="AC68">
            <v>55</v>
          </cell>
          <cell r="AD68">
            <v>42.147192157572938</v>
          </cell>
          <cell r="AE68">
            <v>33.17478752233766</v>
          </cell>
          <cell r="AF68">
            <v>26.774427639771297</v>
          </cell>
          <cell r="AG68">
            <v>22.108612179865222</v>
          </cell>
          <cell r="AH68">
            <v>18.633471962071368</v>
          </cell>
          <cell r="AI68">
            <v>15.990542965682804</v>
          </cell>
          <cell r="AJ68">
            <v>13.939938810154274</v>
          </cell>
          <cell r="AK68">
            <v>12.31861412631555</v>
          </cell>
          <cell r="AL68">
            <v>11.013993027554855</v>
          </cell>
          <cell r="AM68">
            <v>9.9471064986898519</v>
          </cell>
          <cell r="AN68">
            <v>9.0616781037890295</v>
          </cell>
          <cell r="AO68">
            <v>8.3169716679294492</v>
          </cell>
          <cell r="AP68">
            <v>7.6830448929661541</v>
          </cell>
          <cell r="AQ68">
            <v>7.1375592259707048</v>
          </cell>
          <cell r="AR68">
            <v>6.6636080325988658</v>
          </cell>
          <cell r="AS68">
            <v>6.2482188905418656</v>
          </cell>
          <cell r="AT68">
            <v>5.8813074299932238</v>
          </cell>
          <cell r="AU68">
            <v>5.5549372301470923</v>
          </cell>
          <cell r="AV68">
            <v>5.26278962712757</v>
          </cell>
          <cell r="AW68">
            <v>4.9997791987784579</v>
          </cell>
          <cell r="AX68">
            <v>4.761771537024722</v>
          </cell>
          <cell r="AY68">
            <v>4.5453736756055703</v>
          </cell>
          <cell r="AZ68">
            <v>4.3477767137839232</v>
          </cell>
          <cell r="BA68">
            <v>4.1666363559591142</v>
          </cell>
          <cell r="BB68">
            <v>3.9999812927790424</v>
          </cell>
        </row>
        <row r="69">
          <cell r="AC69">
            <v>56</v>
          </cell>
          <cell r="AD69">
            <v>42.719992235220751</v>
          </cell>
          <cell r="AE69">
            <v>33.504693649350649</v>
          </cell>
          <cell r="AF69">
            <v>26.965463727933294</v>
          </cell>
          <cell r="AG69">
            <v>22.219819403716563</v>
          </cell>
          <cell r="AH69">
            <v>18.698544725782256</v>
          </cell>
          <cell r="AI69">
            <v>16.028814118568683</v>
          </cell>
          <cell r="AJ69">
            <v>13.962559635658197</v>
          </cell>
          <cell r="AK69">
            <v>12.332050116958843</v>
          </cell>
          <cell r="AL69">
            <v>11.02201195188519</v>
          </cell>
          <cell r="AM69">
            <v>9.9519149988089559</v>
          </cell>
          <cell r="AN69">
            <v>9.0645748682784042</v>
          </cell>
          <cell r="AO69">
            <v>8.3187247035084368</v>
          </cell>
          <cell r="AP69">
            <v>7.6841105247488093</v>
          </cell>
          <cell r="AQ69">
            <v>7.1382098473427229</v>
          </cell>
          <cell r="AR69">
            <v>6.6640069848685783</v>
          </cell>
          <cell r="AS69">
            <v>6.2484645608119536</v>
          </cell>
          <cell r="AT69">
            <v>5.8814593418745504</v>
          </cell>
          <cell r="AU69">
            <v>5.5550315509721129</v>
          </cell>
          <cell r="AV69">
            <v>5.2628484261576221</v>
          </cell>
          <cell r="AW69">
            <v>4.9998159989820481</v>
          </cell>
          <cell r="AX69">
            <v>4.7617946586981175</v>
          </cell>
          <cell r="AY69">
            <v>4.54538825869309</v>
          </cell>
          <cell r="AZ69">
            <v>4.3477859461657911</v>
          </cell>
          <cell r="BA69">
            <v>4.1666422225476722</v>
          </cell>
          <cell r="BB69">
            <v>3.9999850342232337</v>
          </cell>
        </row>
        <row r="70">
          <cell r="AC70">
            <v>57</v>
          </cell>
          <cell r="AD70">
            <v>43.287121024971043</v>
          </cell>
          <cell r="AE70">
            <v>33.82813102877514</v>
          </cell>
          <cell r="AF70">
            <v>27.150935658187667</v>
          </cell>
          <cell r="AG70">
            <v>22.32674942665054</v>
          </cell>
          <cell r="AH70">
            <v>18.76051878645929</v>
          </cell>
          <cell r="AI70">
            <v>16.06491897978178</v>
          </cell>
          <cell r="AJ70">
            <v>13.983700594073083</v>
          </cell>
          <cell r="AK70">
            <v>12.344490849035965</v>
          </cell>
          <cell r="AL70">
            <v>11.029368763197422</v>
          </cell>
          <cell r="AM70">
            <v>9.9562863625535964</v>
          </cell>
          <cell r="AN70">
            <v>9.0671845660165804</v>
          </cell>
          <cell r="AO70">
            <v>8.3202899138468194</v>
          </cell>
          <cell r="AP70">
            <v>7.685053561724609</v>
          </cell>
          <cell r="AQ70">
            <v>7.1387805678444938</v>
          </cell>
          <cell r="AR70">
            <v>6.6643538998857208</v>
          </cell>
          <cell r="AS70">
            <v>6.2486763455275458</v>
          </cell>
          <cell r="AT70">
            <v>5.8815891810893595</v>
          </cell>
          <cell r="AU70">
            <v>5.5551114838746711</v>
          </cell>
          <cell r="AV70">
            <v>5.2628978371072455</v>
          </cell>
          <cell r="AW70">
            <v>4.9998466658183736</v>
          </cell>
          <cell r="AX70">
            <v>4.7618137675191052</v>
          </cell>
          <cell r="AY70">
            <v>4.545400212043516</v>
          </cell>
          <cell r="AZ70">
            <v>4.3477934521673092</v>
          </cell>
          <cell r="BA70">
            <v>4.1666469536674784</v>
          </cell>
          <cell r="BB70">
            <v>3.9999880273785871</v>
          </cell>
        </row>
        <row r="71">
          <cell r="AC71">
            <v>58</v>
          </cell>
          <cell r="AD71">
            <v>43.848634678189143</v>
          </cell>
          <cell r="AE71">
            <v>34.145226498799161</v>
          </cell>
          <cell r="AF71">
            <v>27.33100549338608</v>
          </cell>
          <cell r="AG71">
            <v>22.429566756394749</v>
          </cell>
          <cell r="AH71">
            <v>18.819541701389802</v>
          </cell>
          <cell r="AI71">
            <v>16.098980169605451</v>
          </cell>
          <cell r="AJ71">
            <v>14.003458499133723</v>
          </cell>
          <cell r="AK71">
            <v>12.356010045403673</v>
          </cell>
          <cell r="AL71">
            <v>11.036118131373781</v>
          </cell>
          <cell r="AM71">
            <v>9.9602603295941794</v>
          </cell>
          <cell r="AN71">
            <v>9.0695356450599824</v>
          </cell>
          <cell r="AO71">
            <v>8.3216874230775169</v>
          </cell>
          <cell r="AP71">
            <v>7.6858881077208929</v>
          </cell>
          <cell r="AQ71">
            <v>7.139281199863591</v>
          </cell>
          <cell r="AR71">
            <v>6.6646555651180188</v>
          </cell>
          <cell r="AS71">
            <v>6.2488589185582288</v>
          </cell>
          <cell r="AT71">
            <v>5.8817001547772296</v>
          </cell>
          <cell r="AU71">
            <v>5.5551792236226039</v>
          </cell>
          <cell r="AV71">
            <v>5.2629393589136511</v>
          </cell>
          <cell r="AW71">
            <v>4.9998722215153117</v>
          </cell>
          <cell r="AX71">
            <v>4.7618295599331448</v>
          </cell>
          <cell r="AY71">
            <v>4.5454100098717349</v>
          </cell>
          <cell r="AZ71">
            <v>4.347799554607569</v>
          </cell>
          <cell r="BA71">
            <v>4.1666507690866759</v>
          </cell>
          <cell r="BB71">
            <v>3.9999904219028695</v>
          </cell>
        </row>
        <row r="72">
          <cell r="AC72">
            <v>59</v>
          </cell>
          <cell r="AD72">
            <v>44.404588790286269</v>
          </cell>
          <cell r="AE72">
            <v>34.456104410587407</v>
          </cell>
          <cell r="AF72">
            <v>27.505830576102991</v>
          </cell>
          <cell r="AG72">
            <v>22.528429573456489</v>
          </cell>
          <cell r="AH72">
            <v>18.875754001323621</v>
          </cell>
          <cell r="AI72">
            <v>16.131113367552313</v>
          </cell>
          <cell r="AJ72">
            <v>14.021923830966095</v>
          </cell>
          <cell r="AK72">
            <v>12.366675967966364</v>
          </cell>
          <cell r="AL72">
            <v>11.042310212269523</v>
          </cell>
          <cell r="AM72">
            <v>9.9638730269037978</v>
          </cell>
          <cell r="AN72">
            <v>9.0716537342882724</v>
          </cell>
          <cell r="AO72">
            <v>8.3229351991763547</v>
          </cell>
          <cell r="AP72">
            <v>7.68662664400079</v>
          </cell>
          <cell r="AQ72">
            <v>7.1397203507575355</v>
          </cell>
          <cell r="AR72">
            <v>6.66491788271132</v>
          </cell>
          <cell r="AS72">
            <v>6.249016309101922</v>
          </cell>
          <cell r="AT72">
            <v>5.8817950040831022</v>
          </cell>
          <cell r="AU72">
            <v>5.555236630188646</v>
          </cell>
          <cell r="AV72">
            <v>5.2629742511879423</v>
          </cell>
          <cell r="AW72">
            <v>4.9998935179294257</v>
          </cell>
          <cell r="AX72">
            <v>4.7618426115149957</v>
          </cell>
          <cell r="AY72">
            <v>4.5454180408784719</v>
          </cell>
          <cell r="AZ72">
            <v>4.3478045159411121</v>
          </cell>
          <cell r="BA72">
            <v>4.1666538460376419</v>
          </cell>
          <cell r="BB72">
            <v>3.9999923375222957</v>
          </cell>
        </row>
        <row r="73">
          <cell r="AC73">
            <v>60</v>
          </cell>
          <cell r="AD73">
            <v>44.955038406224034</v>
          </cell>
          <cell r="AE73">
            <v>34.760886677046486</v>
          </cell>
          <cell r="AF73">
            <v>27.675563666119412</v>
          </cell>
          <cell r="AG73">
            <v>22.623489974477398</v>
          </cell>
          <cell r="AH73">
            <v>18.929289525070114</v>
          </cell>
          <cell r="AI73">
            <v>16.16142770523803</v>
          </cell>
          <cell r="AJ73">
            <v>14.039181150435601</v>
          </cell>
          <cell r="AK73">
            <v>12.376551822191077</v>
          </cell>
          <cell r="AL73">
            <v>11.047991020430757</v>
          </cell>
          <cell r="AM73">
            <v>9.9671572971852722</v>
          </cell>
          <cell r="AN73">
            <v>9.0735619227822273</v>
          </cell>
          <cell r="AO73">
            <v>8.3240492849788872</v>
          </cell>
          <cell r="AP73">
            <v>7.6872802159299027</v>
          </cell>
          <cell r="AQ73">
            <v>7.1401055708399443</v>
          </cell>
          <cell r="AR73">
            <v>6.6651459849663652</v>
          </cell>
          <cell r="AS73">
            <v>6.2491519906051041</v>
          </cell>
          <cell r="AT73">
            <v>5.8818760718659</v>
          </cell>
          <cell r="AU73">
            <v>5.5552852798208869</v>
          </cell>
          <cell r="AV73">
            <v>5.2630035724268422</v>
          </cell>
          <cell r="AW73">
            <v>4.999911264941189</v>
          </cell>
          <cell r="AX73">
            <v>4.761853397946278</v>
          </cell>
          <cell r="AY73">
            <v>4.5454246236708773</v>
          </cell>
          <cell r="AZ73">
            <v>4.3478085495456202</v>
          </cell>
          <cell r="BA73">
            <v>4.1666563274497106</v>
          </cell>
          <cell r="BB73">
            <v>3.9999938700178364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0">
          <cell r="X10">
            <v>1</v>
          </cell>
          <cell r="Y10">
            <v>1</v>
          </cell>
          <cell r="Z10">
            <v>12</v>
          </cell>
        </row>
        <row r="11">
          <cell r="X11">
            <v>2</v>
          </cell>
          <cell r="Y11">
            <v>2</v>
          </cell>
          <cell r="Z11">
            <v>6</v>
          </cell>
        </row>
        <row r="12">
          <cell r="X12">
            <v>3</v>
          </cell>
          <cell r="Y12">
            <v>3</v>
          </cell>
          <cell r="Z12">
            <v>4</v>
          </cell>
        </row>
        <row r="13">
          <cell r="X13">
            <v>4</v>
          </cell>
          <cell r="Y13">
            <v>4</v>
          </cell>
          <cell r="Z13">
            <v>3</v>
          </cell>
        </row>
        <row r="14">
          <cell r="X14">
            <v>5</v>
          </cell>
          <cell r="Y14">
            <v>6</v>
          </cell>
          <cell r="Z14">
            <v>2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2.xml"/><Relationship Id="rId3" Type="http://schemas.openxmlformats.org/officeDocument/2006/relationships/ctrlProp" Target="../ctrlProps/ctrlProp67.xml"/><Relationship Id="rId7" Type="http://schemas.openxmlformats.org/officeDocument/2006/relationships/ctrlProp" Target="../ctrlProps/ctrlProp71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70.xml"/><Relationship Id="rId11" Type="http://schemas.openxmlformats.org/officeDocument/2006/relationships/ctrlProp" Target="../ctrlProps/ctrlProp75.xml"/><Relationship Id="rId5" Type="http://schemas.openxmlformats.org/officeDocument/2006/relationships/ctrlProp" Target="../ctrlProps/ctrlProp69.xml"/><Relationship Id="rId10" Type="http://schemas.openxmlformats.org/officeDocument/2006/relationships/ctrlProp" Target="../ctrlProps/ctrlProp74.xml"/><Relationship Id="rId4" Type="http://schemas.openxmlformats.org/officeDocument/2006/relationships/ctrlProp" Target="../ctrlProps/ctrlProp68.xml"/><Relationship Id="rId9" Type="http://schemas.openxmlformats.org/officeDocument/2006/relationships/ctrlProp" Target="../ctrlProps/ctrlProp73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1.xml"/><Relationship Id="rId3" Type="http://schemas.openxmlformats.org/officeDocument/2006/relationships/ctrlProp" Target="../ctrlProps/ctrlProp76.xml"/><Relationship Id="rId7" Type="http://schemas.openxmlformats.org/officeDocument/2006/relationships/ctrlProp" Target="../ctrlProps/ctrlProp80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79.xml"/><Relationship Id="rId11" Type="http://schemas.openxmlformats.org/officeDocument/2006/relationships/ctrlProp" Target="../ctrlProps/ctrlProp84.xml"/><Relationship Id="rId5" Type="http://schemas.openxmlformats.org/officeDocument/2006/relationships/ctrlProp" Target="../ctrlProps/ctrlProp78.xml"/><Relationship Id="rId10" Type="http://schemas.openxmlformats.org/officeDocument/2006/relationships/ctrlProp" Target="../ctrlProps/ctrlProp83.xml"/><Relationship Id="rId4" Type="http://schemas.openxmlformats.org/officeDocument/2006/relationships/ctrlProp" Target="../ctrlProps/ctrlProp77.xml"/><Relationship Id="rId9" Type="http://schemas.openxmlformats.org/officeDocument/2006/relationships/ctrlProp" Target="../ctrlProps/ctrlProp8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5.xml"/><Relationship Id="rId7" Type="http://schemas.openxmlformats.org/officeDocument/2006/relationships/ctrlProp" Target="../ctrlProps/ctrlProp89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88.xml"/><Relationship Id="rId5" Type="http://schemas.openxmlformats.org/officeDocument/2006/relationships/ctrlProp" Target="../ctrlProps/ctrlProp87.xml"/><Relationship Id="rId4" Type="http://schemas.openxmlformats.org/officeDocument/2006/relationships/ctrlProp" Target="../ctrlProps/ctrlProp86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5.xml"/><Relationship Id="rId3" Type="http://schemas.openxmlformats.org/officeDocument/2006/relationships/ctrlProp" Target="../ctrlProps/ctrlProp90.xml"/><Relationship Id="rId7" Type="http://schemas.openxmlformats.org/officeDocument/2006/relationships/ctrlProp" Target="../ctrlProps/ctrlProp94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6" Type="http://schemas.openxmlformats.org/officeDocument/2006/relationships/ctrlProp" Target="../ctrlProps/ctrlProp93.xml"/><Relationship Id="rId5" Type="http://schemas.openxmlformats.org/officeDocument/2006/relationships/ctrlProp" Target="../ctrlProps/ctrlProp92.xml"/><Relationship Id="rId4" Type="http://schemas.openxmlformats.org/officeDocument/2006/relationships/ctrlProp" Target="../ctrlProps/ctrlProp91.xml"/><Relationship Id="rId9" Type="http://schemas.openxmlformats.org/officeDocument/2006/relationships/ctrlProp" Target="../ctrlProps/ctrlProp96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2.xml"/><Relationship Id="rId3" Type="http://schemas.openxmlformats.org/officeDocument/2006/relationships/ctrlProp" Target="../ctrlProps/ctrlProp97.xml"/><Relationship Id="rId7" Type="http://schemas.openxmlformats.org/officeDocument/2006/relationships/ctrlProp" Target="../ctrlProps/ctrlProp101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6" Type="http://schemas.openxmlformats.org/officeDocument/2006/relationships/ctrlProp" Target="../ctrlProps/ctrlProp100.xml"/><Relationship Id="rId5" Type="http://schemas.openxmlformats.org/officeDocument/2006/relationships/ctrlProp" Target="../ctrlProps/ctrlProp99.xml"/><Relationship Id="rId4" Type="http://schemas.openxmlformats.org/officeDocument/2006/relationships/ctrlProp" Target="../ctrlProps/ctrlProp98.xml"/><Relationship Id="rId9" Type="http://schemas.openxmlformats.org/officeDocument/2006/relationships/ctrlProp" Target="../ctrlProps/ctrlProp103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9.xml"/><Relationship Id="rId3" Type="http://schemas.openxmlformats.org/officeDocument/2006/relationships/ctrlProp" Target="../ctrlProps/ctrlProp104.xml"/><Relationship Id="rId7" Type="http://schemas.openxmlformats.org/officeDocument/2006/relationships/ctrlProp" Target="../ctrlProps/ctrlProp108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6" Type="http://schemas.openxmlformats.org/officeDocument/2006/relationships/ctrlProp" Target="../ctrlProps/ctrlProp107.xml"/><Relationship Id="rId5" Type="http://schemas.openxmlformats.org/officeDocument/2006/relationships/ctrlProp" Target="../ctrlProps/ctrlProp106.xml"/><Relationship Id="rId4" Type="http://schemas.openxmlformats.org/officeDocument/2006/relationships/ctrlProp" Target="../ctrlProps/ctrlProp105.xml"/><Relationship Id="rId9" Type="http://schemas.openxmlformats.org/officeDocument/2006/relationships/ctrlProp" Target="../ctrlProps/ctrlProp110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1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6.xml"/><Relationship Id="rId5" Type="http://schemas.openxmlformats.org/officeDocument/2006/relationships/ctrlProp" Target="../ctrlProps/ctrlProp113.xml"/><Relationship Id="rId4" Type="http://schemas.openxmlformats.org/officeDocument/2006/relationships/ctrlProp" Target="../ctrlProps/ctrlProp112.x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9.xml"/><Relationship Id="rId13" Type="http://schemas.openxmlformats.org/officeDocument/2006/relationships/ctrlProp" Target="../ctrlProps/ctrlProp124.xml"/><Relationship Id="rId3" Type="http://schemas.openxmlformats.org/officeDocument/2006/relationships/ctrlProp" Target="../ctrlProps/ctrlProp114.xml"/><Relationship Id="rId7" Type="http://schemas.openxmlformats.org/officeDocument/2006/relationships/ctrlProp" Target="../ctrlProps/ctrlProp118.xml"/><Relationship Id="rId12" Type="http://schemas.openxmlformats.org/officeDocument/2006/relationships/ctrlProp" Target="../ctrlProps/ctrlProp123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7.xml"/><Relationship Id="rId6" Type="http://schemas.openxmlformats.org/officeDocument/2006/relationships/ctrlProp" Target="../ctrlProps/ctrlProp117.xml"/><Relationship Id="rId11" Type="http://schemas.openxmlformats.org/officeDocument/2006/relationships/ctrlProp" Target="../ctrlProps/ctrlProp122.xml"/><Relationship Id="rId5" Type="http://schemas.openxmlformats.org/officeDocument/2006/relationships/ctrlProp" Target="../ctrlProps/ctrlProp116.xml"/><Relationship Id="rId15" Type="http://schemas.openxmlformats.org/officeDocument/2006/relationships/ctrlProp" Target="../ctrlProps/ctrlProp126.xml"/><Relationship Id="rId10" Type="http://schemas.openxmlformats.org/officeDocument/2006/relationships/ctrlProp" Target="../ctrlProps/ctrlProp121.xml"/><Relationship Id="rId4" Type="http://schemas.openxmlformats.org/officeDocument/2006/relationships/ctrlProp" Target="../ctrlProps/ctrlProp115.xml"/><Relationship Id="rId9" Type="http://schemas.openxmlformats.org/officeDocument/2006/relationships/ctrlProp" Target="../ctrlProps/ctrlProp120.xml"/><Relationship Id="rId14" Type="http://schemas.openxmlformats.org/officeDocument/2006/relationships/ctrlProp" Target="../ctrlProps/ctrlProp125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27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8.xml"/><Relationship Id="rId6" Type="http://schemas.openxmlformats.org/officeDocument/2006/relationships/ctrlProp" Target="../ctrlProps/ctrlProp130.xml"/><Relationship Id="rId5" Type="http://schemas.openxmlformats.org/officeDocument/2006/relationships/ctrlProp" Target="../ctrlProps/ctrlProp129.xml"/><Relationship Id="rId4" Type="http://schemas.openxmlformats.org/officeDocument/2006/relationships/ctrlProp" Target="../ctrlProps/ctrlProp128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1.xml"/><Relationship Id="rId7" Type="http://schemas.openxmlformats.org/officeDocument/2006/relationships/ctrlProp" Target="../ctrlProps/ctrlProp135.xml"/><Relationship Id="rId2" Type="http://schemas.openxmlformats.org/officeDocument/2006/relationships/vmlDrawing" Target="../drawings/vmlDrawing19.vml"/><Relationship Id="rId1" Type="http://schemas.openxmlformats.org/officeDocument/2006/relationships/drawing" Target="../drawings/drawing19.xml"/><Relationship Id="rId6" Type="http://schemas.openxmlformats.org/officeDocument/2006/relationships/ctrlProp" Target="../ctrlProps/ctrlProp134.xml"/><Relationship Id="rId5" Type="http://schemas.openxmlformats.org/officeDocument/2006/relationships/ctrlProp" Target="../ctrlProps/ctrlProp133.xml"/><Relationship Id="rId4" Type="http://schemas.openxmlformats.org/officeDocument/2006/relationships/ctrlProp" Target="../ctrlProps/ctrlProp13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6.xml"/><Relationship Id="rId2" Type="http://schemas.openxmlformats.org/officeDocument/2006/relationships/vmlDrawing" Target="../drawings/vmlDrawing20.vml"/><Relationship Id="rId1" Type="http://schemas.openxmlformats.org/officeDocument/2006/relationships/drawing" Target="../drawings/drawing20.xml"/><Relationship Id="rId5" Type="http://schemas.openxmlformats.org/officeDocument/2006/relationships/ctrlProp" Target="../ctrlProps/ctrlProp138.xml"/><Relationship Id="rId4" Type="http://schemas.openxmlformats.org/officeDocument/2006/relationships/ctrlProp" Target="../ctrlProps/ctrlProp137.xm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4.xml"/><Relationship Id="rId3" Type="http://schemas.openxmlformats.org/officeDocument/2006/relationships/ctrlProp" Target="../ctrlProps/ctrlProp139.xml"/><Relationship Id="rId7" Type="http://schemas.openxmlformats.org/officeDocument/2006/relationships/ctrlProp" Target="../ctrlProps/ctrlProp143.xml"/><Relationship Id="rId2" Type="http://schemas.openxmlformats.org/officeDocument/2006/relationships/vmlDrawing" Target="../drawings/vmlDrawing21.vml"/><Relationship Id="rId1" Type="http://schemas.openxmlformats.org/officeDocument/2006/relationships/drawing" Target="../drawings/drawing21.xml"/><Relationship Id="rId6" Type="http://schemas.openxmlformats.org/officeDocument/2006/relationships/ctrlProp" Target="../ctrlProps/ctrlProp142.xml"/><Relationship Id="rId5" Type="http://schemas.openxmlformats.org/officeDocument/2006/relationships/ctrlProp" Target="../ctrlProps/ctrlProp141.xml"/><Relationship Id="rId4" Type="http://schemas.openxmlformats.org/officeDocument/2006/relationships/ctrlProp" Target="../ctrlProps/ctrlProp140.xml"/><Relationship Id="rId9" Type="http://schemas.openxmlformats.org/officeDocument/2006/relationships/ctrlProp" Target="../ctrlProps/ctrlProp145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46.xml"/><Relationship Id="rId2" Type="http://schemas.openxmlformats.org/officeDocument/2006/relationships/vmlDrawing" Target="../drawings/vmlDrawing22.vml"/><Relationship Id="rId1" Type="http://schemas.openxmlformats.org/officeDocument/2006/relationships/drawing" Target="../drawings/drawing22.xml"/><Relationship Id="rId6" Type="http://schemas.openxmlformats.org/officeDocument/2006/relationships/ctrlProp" Target="../ctrlProps/ctrlProp149.xml"/><Relationship Id="rId5" Type="http://schemas.openxmlformats.org/officeDocument/2006/relationships/ctrlProp" Target="../ctrlProps/ctrlProp148.xml"/><Relationship Id="rId4" Type="http://schemas.openxmlformats.org/officeDocument/2006/relationships/ctrlProp" Target="../ctrlProps/ctrlProp147.xml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5.xml"/><Relationship Id="rId3" Type="http://schemas.openxmlformats.org/officeDocument/2006/relationships/ctrlProp" Target="../ctrlProps/ctrlProp150.xml"/><Relationship Id="rId7" Type="http://schemas.openxmlformats.org/officeDocument/2006/relationships/ctrlProp" Target="../ctrlProps/ctrlProp154.xml"/><Relationship Id="rId2" Type="http://schemas.openxmlformats.org/officeDocument/2006/relationships/vmlDrawing" Target="../drawings/vmlDrawing23.vml"/><Relationship Id="rId1" Type="http://schemas.openxmlformats.org/officeDocument/2006/relationships/drawing" Target="../drawings/drawing23.xml"/><Relationship Id="rId6" Type="http://schemas.openxmlformats.org/officeDocument/2006/relationships/ctrlProp" Target="../ctrlProps/ctrlProp153.xml"/><Relationship Id="rId5" Type="http://schemas.openxmlformats.org/officeDocument/2006/relationships/ctrlProp" Target="../ctrlProps/ctrlProp152.xml"/><Relationship Id="rId4" Type="http://schemas.openxmlformats.org/officeDocument/2006/relationships/ctrlProp" Target="../ctrlProps/ctrlProp151.xml"/></Relationships>
</file>

<file path=xl/worksheets/_rels/sheet2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60.xml"/><Relationship Id="rId13" Type="http://schemas.openxmlformats.org/officeDocument/2006/relationships/ctrlProp" Target="../ctrlProps/ctrlProp165.xml"/><Relationship Id="rId3" Type="http://schemas.openxmlformats.org/officeDocument/2006/relationships/vmlDrawing" Target="../drawings/vmlDrawing24.vml"/><Relationship Id="rId7" Type="http://schemas.openxmlformats.org/officeDocument/2006/relationships/ctrlProp" Target="../ctrlProps/ctrlProp159.xml"/><Relationship Id="rId12" Type="http://schemas.openxmlformats.org/officeDocument/2006/relationships/ctrlProp" Target="../ctrlProps/ctrlProp164.x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8.xml"/><Relationship Id="rId11" Type="http://schemas.openxmlformats.org/officeDocument/2006/relationships/ctrlProp" Target="../ctrlProps/ctrlProp163.xml"/><Relationship Id="rId5" Type="http://schemas.openxmlformats.org/officeDocument/2006/relationships/ctrlProp" Target="../ctrlProps/ctrlProp157.xml"/><Relationship Id="rId15" Type="http://schemas.openxmlformats.org/officeDocument/2006/relationships/ctrlProp" Target="../ctrlProps/ctrlProp167.xml"/><Relationship Id="rId10" Type="http://schemas.openxmlformats.org/officeDocument/2006/relationships/ctrlProp" Target="../ctrlProps/ctrlProp162.xml"/><Relationship Id="rId4" Type="http://schemas.openxmlformats.org/officeDocument/2006/relationships/ctrlProp" Target="../ctrlProps/ctrlProp156.xml"/><Relationship Id="rId9" Type="http://schemas.openxmlformats.org/officeDocument/2006/relationships/ctrlProp" Target="../ctrlProps/ctrlProp161.xml"/><Relationship Id="rId14" Type="http://schemas.openxmlformats.org/officeDocument/2006/relationships/ctrlProp" Target="../ctrlProps/ctrlProp16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ctrlProp" Target="../ctrlProps/ctrlProp8.xml"/><Relationship Id="rId7" Type="http://schemas.openxmlformats.org/officeDocument/2006/relationships/ctrlProp" Target="../ctrlProps/ctrlProp12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3" Type="http://schemas.openxmlformats.org/officeDocument/2006/relationships/ctrlProp" Target="../ctrlProps/ctrlProp15.xml"/><Relationship Id="rId7" Type="http://schemas.openxmlformats.org/officeDocument/2006/relationships/ctrlProp" Target="../ctrlProps/ctrlProp19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10" Type="http://schemas.openxmlformats.org/officeDocument/2006/relationships/ctrlProp" Target="../ctrlProps/ctrlProp22.xml"/><Relationship Id="rId4" Type="http://schemas.openxmlformats.org/officeDocument/2006/relationships/ctrlProp" Target="../ctrlProps/ctrlProp16.xml"/><Relationship Id="rId9" Type="http://schemas.openxmlformats.org/officeDocument/2006/relationships/ctrlProp" Target="../ctrlProps/ctrlProp2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8.xml"/><Relationship Id="rId3" Type="http://schemas.openxmlformats.org/officeDocument/2006/relationships/ctrlProp" Target="../ctrlProps/ctrlProp23.xml"/><Relationship Id="rId7" Type="http://schemas.openxmlformats.org/officeDocument/2006/relationships/ctrlProp" Target="../ctrlProps/ctrlProp27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6.xml"/><Relationship Id="rId5" Type="http://schemas.openxmlformats.org/officeDocument/2006/relationships/ctrlProp" Target="../ctrlProps/ctrlProp25.xml"/><Relationship Id="rId10" Type="http://schemas.openxmlformats.org/officeDocument/2006/relationships/ctrlProp" Target="../ctrlProps/ctrlProp30.xml"/><Relationship Id="rId4" Type="http://schemas.openxmlformats.org/officeDocument/2006/relationships/ctrlProp" Target="../ctrlProps/ctrlProp24.xml"/><Relationship Id="rId9" Type="http://schemas.openxmlformats.org/officeDocument/2006/relationships/ctrlProp" Target="../ctrlProps/ctrlProp29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1.xml"/><Relationship Id="rId7" Type="http://schemas.openxmlformats.org/officeDocument/2006/relationships/ctrlProp" Target="../ctrlProps/ctrlProp35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34.xml"/><Relationship Id="rId5" Type="http://schemas.openxmlformats.org/officeDocument/2006/relationships/ctrlProp" Target="../ctrlProps/ctrlProp33.xml"/><Relationship Id="rId4" Type="http://schemas.openxmlformats.org/officeDocument/2006/relationships/ctrlProp" Target="../ctrlProps/ctrlProp32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0.xml"/><Relationship Id="rId13" Type="http://schemas.openxmlformats.org/officeDocument/2006/relationships/ctrlProp" Target="../ctrlProps/ctrlProp45.xml"/><Relationship Id="rId18" Type="http://schemas.openxmlformats.org/officeDocument/2006/relationships/ctrlProp" Target="../ctrlProps/ctrlProp50.xml"/><Relationship Id="rId26" Type="http://schemas.openxmlformats.org/officeDocument/2006/relationships/ctrlProp" Target="../ctrlProps/ctrlProp58.xml"/><Relationship Id="rId3" Type="http://schemas.openxmlformats.org/officeDocument/2006/relationships/vmlDrawing" Target="../drawings/vmlDrawing7.vml"/><Relationship Id="rId21" Type="http://schemas.openxmlformats.org/officeDocument/2006/relationships/ctrlProp" Target="../ctrlProps/ctrlProp53.xml"/><Relationship Id="rId7" Type="http://schemas.openxmlformats.org/officeDocument/2006/relationships/ctrlProp" Target="../ctrlProps/ctrlProp39.xml"/><Relationship Id="rId12" Type="http://schemas.openxmlformats.org/officeDocument/2006/relationships/ctrlProp" Target="../ctrlProps/ctrlProp44.xml"/><Relationship Id="rId17" Type="http://schemas.openxmlformats.org/officeDocument/2006/relationships/ctrlProp" Target="../ctrlProps/ctrlProp49.xml"/><Relationship Id="rId25" Type="http://schemas.openxmlformats.org/officeDocument/2006/relationships/ctrlProp" Target="../ctrlProps/ctrlProp57.xml"/><Relationship Id="rId2" Type="http://schemas.openxmlformats.org/officeDocument/2006/relationships/drawing" Target="../drawings/drawing7.xml"/><Relationship Id="rId16" Type="http://schemas.openxmlformats.org/officeDocument/2006/relationships/ctrlProp" Target="../ctrlProps/ctrlProp48.xml"/><Relationship Id="rId20" Type="http://schemas.openxmlformats.org/officeDocument/2006/relationships/ctrlProp" Target="../ctrlProps/ctrlProp5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8.xml"/><Relationship Id="rId11" Type="http://schemas.openxmlformats.org/officeDocument/2006/relationships/ctrlProp" Target="../ctrlProps/ctrlProp43.xml"/><Relationship Id="rId24" Type="http://schemas.openxmlformats.org/officeDocument/2006/relationships/ctrlProp" Target="../ctrlProps/ctrlProp56.xml"/><Relationship Id="rId5" Type="http://schemas.openxmlformats.org/officeDocument/2006/relationships/ctrlProp" Target="../ctrlProps/ctrlProp37.xml"/><Relationship Id="rId15" Type="http://schemas.openxmlformats.org/officeDocument/2006/relationships/ctrlProp" Target="../ctrlProps/ctrlProp47.xml"/><Relationship Id="rId23" Type="http://schemas.openxmlformats.org/officeDocument/2006/relationships/ctrlProp" Target="../ctrlProps/ctrlProp55.xml"/><Relationship Id="rId10" Type="http://schemas.openxmlformats.org/officeDocument/2006/relationships/ctrlProp" Target="../ctrlProps/ctrlProp42.xml"/><Relationship Id="rId19" Type="http://schemas.openxmlformats.org/officeDocument/2006/relationships/ctrlProp" Target="../ctrlProps/ctrlProp51.xml"/><Relationship Id="rId4" Type="http://schemas.openxmlformats.org/officeDocument/2006/relationships/ctrlProp" Target="../ctrlProps/ctrlProp36.xml"/><Relationship Id="rId9" Type="http://schemas.openxmlformats.org/officeDocument/2006/relationships/ctrlProp" Target="../ctrlProps/ctrlProp41.xml"/><Relationship Id="rId14" Type="http://schemas.openxmlformats.org/officeDocument/2006/relationships/ctrlProp" Target="../ctrlProps/ctrlProp46.xml"/><Relationship Id="rId22" Type="http://schemas.openxmlformats.org/officeDocument/2006/relationships/ctrlProp" Target="../ctrlProps/ctrlProp54.xml"/><Relationship Id="rId27" Type="http://schemas.openxmlformats.org/officeDocument/2006/relationships/ctrlProp" Target="../ctrlProps/ctrlProp5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0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63.xml"/><Relationship Id="rId5" Type="http://schemas.openxmlformats.org/officeDocument/2006/relationships/ctrlProp" Target="../ctrlProps/ctrlProp62.xml"/><Relationship Id="rId4" Type="http://schemas.openxmlformats.org/officeDocument/2006/relationships/ctrlProp" Target="../ctrlProps/ctrlProp6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6.xml"/><Relationship Id="rId5" Type="http://schemas.openxmlformats.org/officeDocument/2006/relationships/ctrlProp" Target="../ctrlProps/ctrlProp65.xml"/><Relationship Id="rId4" Type="http://schemas.openxmlformats.org/officeDocument/2006/relationships/ctrlProp" Target="../ctrlProps/ctrlProp6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8"/>
  <sheetViews>
    <sheetView showGridLines="0" workbookViewId="0">
      <selection activeCell="H17" sqref="H17"/>
    </sheetView>
  </sheetViews>
  <sheetFormatPr defaultRowHeight="15" x14ac:dyDescent="0.25"/>
  <cols>
    <col min="1" max="1" width="5.85546875" style="1" customWidth="1"/>
    <col min="2" max="2" width="9.5703125" style="1" customWidth="1"/>
    <col min="3" max="3" width="20.140625" style="1" customWidth="1"/>
    <col min="4" max="4" width="13.7109375" style="1" customWidth="1"/>
    <col min="5" max="5" width="4.28515625" style="1" customWidth="1"/>
    <col min="6" max="6" width="0.85546875" style="1" customWidth="1"/>
    <col min="7" max="7" width="7" style="1" customWidth="1"/>
    <col min="8" max="8" width="2" style="1" customWidth="1"/>
    <col min="9" max="9" width="7.7109375" style="1" customWidth="1"/>
    <col min="10" max="10" width="7.42578125" style="1" customWidth="1"/>
    <col min="11" max="11" width="3" style="1" customWidth="1"/>
    <col min="12" max="12" width="9.140625" style="1" customWidth="1"/>
    <col min="13" max="13" width="10.28515625" style="1" customWidth="1"/>
    <col min="14" max="16384" width="9.140625" style="1"/>
  </cols>
  <sheetData>
    <row r="1" spans="1:12" ht="19.5" customHeight="1" x14ac:dyDescent="0.25"/>
    <row r="2" spans="1:12" ht="18.75" x14ac:dyDescent="0.25">
      <c r="B2" s="20" t="s">
        <v>114</v>
      </c>
    </row>
    <row r="3" spans="1:12" ht="17.25" customHeight="1" x14ac:dyDescent="0.25">
      <c r="A3" s="36">
        <v>750</v>
      </c>
      <c r="B3" s="30" t="s">
        <v>149</v>
      </c>
      <c r="C3" s="31"/>
      <c r="D3" s="34">
        <f>A3*1000000</f>
        <v>750000000</v>
      </c>
      <c r="F3" s="14"/>
      <c r="G3" s="1" t="s">
        <v>3</v>
      </c>
    </row>
    <row r="4" spans="1:12" ht="17.25" customHeight="1" x14ac:dyDescent="0.25">
      <c r="A4" s="36">
        <v>115</v>
      </c>
      <c r="B4" s="30" t="s">
        <v>150</v>
      </c>
      <c r="C4" s="31"/>
      <c r="D4" s="34">
        <f>A4*100000</f>
        <v>11500000</v>
      </c>
      <c r="G4" s="161" t="s">
        <v>13</v>
      </c>
      <c r="H4" s="349">
        <f>D3</f>
        <v>750000000</v>
      </c>
      <c r="I4" s="349"/>
      <c r="J4" s="349"/>
    </row>
    <row r="5" spans="1:12" ht="17.25" customHeight="1" x14ac:dyDescent="0.25">
      <c r="A5" s="36">
        <v>15</v>
      </c>
      <c r="B5" s="30" t="s">
        <v>151</v>
      </c>
      <c r="C5" s="31"/>
      <c r="D5" s="35">
        <f>A5/100</f>
        <v>0.15</v>
      </c>
      <c r="G5" s="161" t="s">
        <v>97</v>
      </c>
      <c r="H5" s="349">
        <f t="shared" ref="H5" si="0">D4</f>
        <v>11500000</v>
      </c>
      <c r="I5" s="349"/>
      <c r="J5" s="349"/>
    </row>
    <row r="6" spans="1:12" x14ac:dyDescent="0.25">
      <c r="D6" s="59"/>
      <c r="G6" s="161" t="s">
        <v>4</v>
      </c>
      <c r="H6" s="350" t="str">
        <f>TEXT(D5,"#,00%  =")</f>
        <v>15,00%  =</v>
      </c>
      <c r="I6" s="350"/>
      <c r="J6" s="1" t="str">
        <f>TEXT(D5/12,"0,0000 ")&amp;"per bulan"</f>
        <v>0,0125 per bulan</v>
      </c>
    </row>
    <row r="7" spans="1:12" x14ac:dyDescent="0.25">
      <c r="B7" s="354" t="str">
        <f>"Investasi sebesar Rp "&amp;TEXT(D3,"#.###.. juta")&amp;" dengan aliran kas masuk setiap bulan terus menerus sebesar Rp "&amp;TEXT(D4,"#.###,00.. juta ")&amp;" dan tingkat pengembalian (return) "&amp;TEXT(D5,"#%")&amp;", menghasilkan NPV "&amp;IF(H14&gt;0,"positif","negatif")&amp;" sehingga usulan proyek "&amp;IF(H14&gt;0,"diterima","ditolak")</f>
        <v>Investasi sebesar Rp 750 juta dengan aliran kas masuk setiap bulan terus menerus sebesar Rp 11,50 juta  dan tingkat pengembalian (return) 15%, menghasilkan NPV positif sehingga usulan proyek diterima</v>
      </c>
      <c r="C7" s="354"/>
      <c r="D7" s="354"/>
    </row>
    <row r="8" spans="1:12" x14ac:dyDescent="0.25">
      <c r="B8" s="354"/>
      <c r="C8" s="354"/>
      <c r="D8" s="354"/>
      <c r="F8" s="14"/>
      <c r="G8" s="1" t="s">
        <v>0</v>
      </c>
    </row>
    <row r="9" spans="1:12" ht="18" customHeight="1" x14ac:dyDescent="0.25">
      <c r="B9" s="354"/>
      <c r="C9" s="354"/>
      <c r="D9" s="354"/>
      <c r="G9" s="351" t="s">
        <v>6</v>
      </c>
      <c r="H9" s="92" t="s">
        <v>8</v>
      </c>
      <c r="I9" s="352" t="s">
        <v>9</v>
      </c>
      <c r="J9" s="353" t="s">
        <v>242</v>
      </c>
      <c r="K9" s="92" t="s">
        <v>78</v>
      </c>
      <c r="L9" s="352" t="s">
        <v>9</v>
      </c>
    </row>
    <row r="10" spans="1:12" x14ac:dyDescent="0.25">
      <c r="B10" s="354"/>
      <c r="C10" s="354"/>
      <c r="D10" s="354"/>
      <c r="G10" s="351"/>
      <c r="H10" s="1" t="s">
        <v>7</v>
      </c>
      <c r="I10" s="352"/>
      <c r="J10" s="353"/>
      <c r="K10" s="1" t="s">
        <v>7</v>
      </c>
      <c r="L10" s="352"/>
    </row>
    <row r="11" spans="1:12" x14ac:dyDescent="0.25">
      <c r="B11" s="354"/>
      <c r="C11" s="354"/>
      <c r="D11" s="354"/>
      <c r="G11" s="351" t="s">
        <v>6</v>
      </c>
      <c r="H11" s="355" t="str">
        <f>TEXT(H5,"#.000")</f>
        <v>11.500.000</v>
      </c>
      <c r="I11" s="355"/>
      <c r="J11" s="353" t="str">
        <f>TEXT(D3,"- #.000")</f>
        <v>- 750.000.000</v>
      </c>
      <c r="K11" s="353"/>
      <c r="L11" s="353"/>
    </row>
    <row r="12" spans="1:12" x14ac:dyDescent="0.25">
      <c r="G12" s="351"/>
      <c r="H12" s="356" t="str">
        <f>TEXT(D5/12,"0,0000")</f>
        <v>0,0125</v>
      </c>
      <c r="I12" s="356"/>
      <c r="J12" s="353"/>
      <c r="K12" s="353"/>
      <c r="L12" s="353"/>
    </row>
    <row r="13" spans="1:12" x14ac:dyDescent="0.25">
      <c r="G13" s="161" t="s">
        <v>6</v>
      </c>
      <c r="H13" s="1" t="str">
        <f>TEXT(H11/H12,"#.000 - ")&amp;TEXT(H4,"#.000")</f>
        <v>920.000.000 - 750.000.000</v>
      </c>
    </row>
    <row r="14" spans="1:12" x14ac:dyDescent="0.25">
      <c r="G14" s="161" t="s">
        <v>6</v>
      </c>
      <c r="H14" s="349">
        <f>(H11/H12)-H4</f>
        <v>170000000</v>
      </c>
      <c r="I14" s="349"/>
      <c r="J14" s="349"/>
    </row>
    <row r="16" spans="1:12" x14ac:dyDescent="0.25">
      <c r="F16" s="14"/>
      <c r="G16" s="62" t="s">
        <v>82</v>
      </c>
    </row>
    <row r="17" spans="8:8" x14ac:dyDescent="0.25">
      <c r="H17" s="1" t="str">
        <f>"NPV "&amp;IF(H14&gt;0,"&gt; 0","&lt; 0")&amp;IF(H14&gt;0,", usulan proyek diterima",", usulan proyek ditolak")</f>
        <v>NPV &gt; 0, usulan proyek diterima</v>
      </c>
    </row>
    <row r="18" spans="8:8" ht="19.5" customHeight="1" x14ac:dyDescent="0.25"/>
  </sheetData>
  <mergeCells count="13">
    <mergeCell ref="L9:L10"/>
    <mergeCell ref="J11:L12"/>
    <mergeCell ref="J9:J10"/>
    <mergeCell ref="B7:D11"/>
    <mergeCell ref="H14:J14"/>
    <mergeCell ref="G11:G12"/>
    <mergeCell ref="H11:I11"/>
    <mergeCell ref="H12:I12"/>
    <mergeCell ref="H4:J4"/>
    <mergeCell ref="H5:J5"/>
    <mergeCell ref="H6:I6"/>
    <mergeCell ref="G9:G10"/>
    <mergeCell ref="I9:I10"/>
  </mergeCell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841" r:id="rId4" name="Scroll Bar 1">
              <controlPr defaultSize="0" autoPict="0">
                <anchor moveWithCells="1">
                  <from>
                    <xdr:col>2</xdr:col>
                    <xdr:colOff>762000</xdr:colOff>
                    <xdr:row>2</xdr:row>
                    <xdr:rowOff>28575</xdr:rowOff>
                  </from>
                  <to>
                    <xdr:col>2</xdr:col>
                    <xdr:colOff>1247775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2" r:id="rId5" name="Scroll Bar 2">
              <controlPr defaultSize="0" autoPict="0">
                <anchor moveWithCells="1">
                  <from>
                    <xdr:col>2</xdr:col>
                    <xdr:colOff>762000</xdr:colOff>
                    <xdr:row>3</xdr:row>
                    <xdr:rowOff>19050</xdr:rowOff>
                  </from>
                  <to>
                    <xdr:col>2</xdr:col>
                    <xdr:colOff>1247775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3" r:id="rId6" name="Scroll Bar 3">
              <controlPr defaultSize="0" autoPict="0">
                <anchor moveWithCells="1">
                  <from>
                    <xdr:col>2</xdr:col>
                    <xdr:colOff>762000</xdr:colOff>
                    <xdr:row>4</xdr:row>
                    <xdr:rowOff>19050</xdr:rowOff>
                  </from>
                  <to>
                    <xdr:col>2</xdr:col>
                    <xdr:colOff>1247775</xdr:colOff>
                    <xdr:row>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35"/>
  <sheetViews>
    <sheetView showGridLines="0" topLeftCell="A22" zoomScaleNormal="100" workbookViewId="0">
      <selection activeCell="J32" sqref="J32:L32"/>
    </sheetView>
  </sheetViews>
  <sheetFormatPr defaultRowHeight="15" x14ac:dyDescent="0.25"/>
  <cols>
    <col min="1" max="1" width="5.85546875" style="1" customWidth="1"/>
    <col min="2" max="2" width="12.28515625" style="1" customWidth="1"/>
    <col min="3" max="3" width="13.85546875" style="1" customWidth="1"/>
    <col min="4" max="4" width="14.140625" style="1" bestFit="1" customWidth="1"/>
    <col min="5" max="5" width="4.28515625" style="1" customWidth="1"/>
    <col min="6" max="6" width="0.85546875" style="1" customWidth="1"/>
    <col min="7" max="7" width="3.7109375" style="1" customWidth="1"/>
    <col min="8" max="8" width="7.42578125" style="1" customWidth="1"/>
    <col min="9" max="9" width="0.85546875" style="1" customWidth="1"/>
    <col min="10" max="10" width="6.42578125" style="1" customWidth="1"/>
    <col min="11" max="11" width="3.140625" style="1" customWidth="1"/>
    <col min="12" max="12" width="3.42578125" style="1" customWidth="1"/>
    <col min="13" max="13" width="5" style="1" customWidth="1"/>
    <col min="14" max="14" width="3.140625" style="1" customWidth="1"/>
    <col min="15" max="15" width="8.42578125" style="1" customWidth="1"/>
    <col min="16" max="16" width="3.140625" style="1" customWidth="1"/>
    <col min="17" max="17" width="4.140625" style="1" customWidth="1"/>
    <col min="18" max="18" width="4.42578125" style="1" customWidth="1"/>
    <col min="19" max="19" width="4" style="1" customWidth="1"/>
    <col min="20" max="20" width="4.28515625" style="1" customWidth="1"/>
    <col min="21" max="21" width="4.5703125" style="1" customWidth="1"/>
    <col min="22" max="22" width="11.42578125" style="1" customWidth="1"/>
    <col min="23" max="23" width="4.28515625" style="1" customWidth="1"/>
    <col min="24" max="24" width="11.42578125" style="1" customWidth="1"/>
    <col min="25" max="25" width="13.140625" style="1" customWidth="1"/>
    <col min="26" max="26" width="5.85546875" style="1" customWidth="1"/>
    <col min="27" max="16384" width="9.140625" style="1"/>
  </cols>
  <sheetData>
    <row r="1" spans="1:25" ht="19.5" customHeight="1" x14ac:dyDescent="0.25"/>
    <row r="2" spans="1:25" ht="18.75" x14ac:dyDescent="0.25">
      <c r="B2" s="20" t="s">
        <v>37</v>
      </c>
    </row>
    <row r="3" spans="1:25" ht="16.5" customHeight="1" x14ac:dyDescent="0.25">
      <c r="A3" s="36">
        <v>900</v>
      </c>
      <c r="B3" s="30" t="s">
        <v>10</v>
      </c>
      <c r="C3" s="31"/>
      <c r="D3" s="34">
        <f>A3*1000000</f>
        <v>900000000</v>
      </c>
      <c r="F3" s="14"/>
      <c r="G3" s="1" t="s">
        <v>3</v>
      </c>
    </row>
    <row r="4" spans="1:25" ht="16.5" customHeight="1" x14ac:dyDescent="0.25">
      <c r="A4" s="36"/>
      <c r="B4" s="30" t="s">
        <v>11</v>
      </c>
      <c r="C4" s="31"/>
      <c r="D4" s="34"/>
      <c r="I4" s="10" t="s">
        <v>13</v>
      </c>
      <c r="J4" s="349">
        <f>-D3</f>
        <v>-900000000</v>
      </c>
      <c r="K4" s="349"/>
      <c r="L4" s="349"/>
      <c r="M4" s="349"/>
    </row>
    <row r="5" spans="1:25" ht="16.5" customHeight="1" x14ac:dyDescent="0.25">
      <c r="A5" s="36">
        <v>275</v>
      </c>
      <c r="B5" s="32"/>
      <c r="C5" s="33">
        <v>1</v>
      </c>
      <c r="D5" s="34">
        <f t="shared" ref="D5:D9" si="0">A5*1000000</f>
        <v>275000000</v>
      </c>
      <c r="I5" s="10" t="s">
        <v>14</v>
      </c>
      <c r="J5" s="349">
        <f t="shared" ref="J5:J10" si="1">D5</f>
        <v>275000000</v>
      </c>
      <c r="K5" s="349"/>
      <c r="L5" s="349"/>
      <c r="M5" s="349"/>
    </row>
    <row r="6" spans="1:25" ht="16.5" customHeight="1" x14ac:dyDescent="0.25">
      <c r="A6" s="36">
        <v>300</v>
      </c>
      <c r="B6" s="32"/>
      <c r="C6" s="33">
        <v>2</v>
      </c>
      <c r="D6" s="34">
        <f t="shared" si="0"/>
        <v>300000000</v>
      </c>
      <c r="I6" s="10" t="s">
        <v>15</v>
      </c>
      <c r="J6" s="349">
        <f t="shared" si="1"/>
        <v>300000000</v>
      </c>
      <c r="K6" s="349"/>
      <c r="L6" s="349"/>
      <c r="M6" s="349"/>
    </row>
    <row r="7" spans="1:25" ht="16.5" customHeight="1" x14ac:dyDescent="0.25">
      <c r="A7" s="36">
        <v>350</v>
      </c>
      <c r="B7" s="32"/>
      <c r="C7" s="33">
        <v>3</v>
      </c>
      <c r="D7" s="34">
        <f t="shared" si="0"/>
        <v>350000000</v>
      </c>
      <c r="I7" s="10" t="s">
        <v>16</v>
      </c>
      <c r="J7" s="349">
        <f t="shared" si="1"/>
        <v>350000000</v>
      </c>
      <c r="K7" s="349"/>
      <c r="L7" s="349"/>
      <c r="M7" s="349"/>
    </row>
    <row r="8" spans="1:25" ht="16.5" customHeight="1" x14ac:dyDescent="0.25">
      <c r="A8" s="36">
        <v>350</v>
      </c>
      <c r="B8" s="32"/>
      <c r="C8" s="33">
        <v>4</v>
      </c>
      <c r="D8" s="34">
        <f t="shared" si="0"/>
        <v>350000000</v>
      </c>
      <c r="I8" s="10" t="s">
        <v>17</v>
      </c>
      <c r="J8" s="349">
        <f t="shared" si="1"/>
        <v>350000000</v>
      </c>
      <c r="K8" s="349"/>
      <c r="L8" s="349"/>
      <c r="M8" s="349"/>
    </row>
    <row r="9" spans="1:25" ht="16.5" customHeight="1" x14ac:dyDescent="0.25">
      <c r="A9" s="36">
        <v>300</v>
      </c>
      <c r="B9" s="32"/>
      <c r="C9" s="33">
        <v>5</v>
      </c>
      <c r="D9" s="34">
        <f t="shared" si="0"/>
        <v>300000000</v>
      </c>
      <c r="I9" s="10" t="s">
        <v>18</v>
      </c>
      <c r="J9" s="349">
        <f t="shared" si="1"/>
        <v>300000000</v>
      </c>
      <c r="K9" s="349"/>
      <c r="L9" s="349"/>
      <c r="M9" s="349"/>
    </row>
    <row r="10" spans="1:25" ht="16.5" customHeight="1" x14ac:dyDescent="0.25">
      <c r="A10" s="36">
        <v>15</v>
      </c>
      <c r="B10" s="309" t="s">
        <v>42</v>
      </c>
      <c r="C10" s="340"/>
      <c r="D10" s="342">
        <f>A10/100</f>
        <v>0.15</v>
      </c>
      <c r="I10" s="10" t="s">
        <v>4</v>
      </c>
      <c r="J10" s="12">
        <f t="shared" si="1"/>
        <v>0.15</v>
      </c>
    </row>
    <row r="11" spans="1:25" x14ac:dyDescent="0.25">
      <c r="B11" s="384" t="str">
        <f>"IRR ("&amp;TEXT(IRR(J4:M9,J10),"#,00%")&amp;") "&amp;IF(IRR(J4:M9,J10),"&gt; retur diinginkan ("&amp;TEXT(D10,"#,00%")&amp;"), usulan proyek diterima","&lt; retur diinginkan ("&amp;TEXT(D10,"#,00%")&amp;"), usulan proyek ditolak")</f>
        <v>IRR (21,43%) &gt; retur diinginkan (15,00%), usulan proyek diterima</v>
      </c>
      <c r="C11" s="384"/>
      <c r="D11" s="384"/>
    </row>
    <row r="12" spans="1:25" ht="15" customHeight="1" x14ac:dyDescent="0.25">
      <c r="B12" s="384"/>
      <c r="C12" s="384"/>
      <c r="D12" s="384"/>
      <c r="F12" s="14"/>
      <c r="G12" s="1" t="s">
        <v>43</v>
      </c>
    </row>
    <row r="13" spans="1:25" ht="18" x14ac:dyDescent="0.25">
      <c r="H13" s="351" t="s">
        <v>6</v>
      </c>
      <c r="I13" s="351"/>
      <c r="J13" s="21" t="s">
        <v>20</v>
      </c>
      <c r="K13" s="361" t="s">
        <v>29</v>
      </c>
      <c r="L13" s="355" t="s">
        <v>21</v>
      </c>
      <c r="M13" s="355"/>
      <c r="N13" s="361" t="s">
        <v>29</v>
      </c>
      <c r="O13" s="21" t="s">
        <v>22</v>
      </c>
      <c r="P13" s="361" t="s">
        <v>29</v>
      </c>
      <c r="Q13" s="355" t="s">
        <v>23</v>
      </c>
      <c r="R13" s="355"/>
      <c r="S13" s="361" t="s">
        <v>29</v>
      </c>
      <c r="T13" s="355" t="s">
        <v>24</v>
      </c>
      <c r="U13" s="355"/>
      <c r="V13" s="352" t="s">
        <v>9</v>
      </c>
    </row>
    <row r="14" spans="1:25" ht="17.25" x14ac:dyDescent="0.25">
      <c r="H14" s="351"/>
      <c r="I14" s="351"/>
      <c r="J14" s="1" t="s">
        <v>44</v>
      </c>
      <c r="K14" s="361"/>
      <c r="L14" s="1" t="s">
        <v>45</v>
      </c>
      <c r="N14" s="361"/>
      <c r="O14" s="1" t="s">
        <v>46</v>
      </c>
      <c r="P14" s="361"/>
      <c r="Q14" s="1" t="s">
        <v>47</v>
      </c>
      <c r="S14" s="361"/>
      <c r="T14" s="1" t="s">
        <v>48</v>
      </c>
      <c r="V14" s="352"/>
    </row>
    <row r="15" spans="1:25" x14ac:dyDescent="0.25">
      <c r="H15" s="351" t="s">
        <v>6</v>
      </c>
      <c r="I15" s="351"/>
      <c r="J15" s="362">
        <f>J5</f>
        <v>275000000</v>
      </c>
      <c r="K15" s="362"/>
      <c r="L15" s="362"/>
      <c r="M15" s="361" t="s">
        <v>29</v>
      </c>
      <c r="N15" s="362">
        <f>J6</f>
        <v>300000000</v>
      </c>
      <c r="O15" s="362"/>
      <c r="P15" s="362"/>
      <c r="Q15" s="361" t="s">
        <v>29</v>
      </c>
      <c r="R15" s="362">
        <f>J7</f>
        <v>350000000</v>
      </c>
      <c r="S15" s="362"/>
      <c r="T15" s="362"/>
      <c r="U15" s="350" t="s">
        <v>29</v>
      </c>
      <c r="V15" s="11">
        <f>J8</f>
        <v>350000000</v>
      </c>
      <c r="W15" s="361" t="s">
        <v>29</v>
      </c>
      <c r="X15" s="11">
        <f>J9</f>
        <v>300000000</v>
      </c>
      <c r="Y15" s="349">
        <f>J4</f>
        <v>-900000000</v>
      </c>
    </row>
    <row r="16" spans="1:25" ht="17.25" x14ac:dyDescent="0.25">
      <c r="H16" s="351"/>
      <c r="I16" s="351"/>
      <c r="J16" s="356" t="s">
        <v>44</v>
      </c>
      <c r="K16" s="356"/>
      <c r="L16" s="356"/>
      <c r="M16" s="361"/>
      <c r="N16" s="356" t="s">
        <v>45</v>
      </c>
      <c r="O16" s="356"/>
      <c r="P16" s="356"/>
      <c r="Q16" s="361"/>
      <c r="R16" s="356" t="s">
        <v>46</v>
      </c>
      <c r="S16" s="356"/>
      <c r="T16" s="356"/>
      <c r="U16" s="350"/>
      <c r="V16" s="22" t="s">
        <v>47</v>
      </c>
      <c r="W16" s="361"/>
      <c r="X16" s="22" t="s">
        <v>48</v>
      </c>
      <c r="Y16" s="353"/>
    </row>
    <row r="17" spans="5:25" x14ac:dyDescent="0.25">
      <c r="G17" s="10"/>
      <c r="H17" s="10"/>
      <c r="I17" s="10"/>
      <c r="J17" s="55"/>
      <c r="K17" s="55"/>
      <c r="L17" s="55"/>
      <c r="M17" s="9"/>
      <c r="N17" s="55"/>
      <c r="O17" s="55"/>
      <c r="P17" s="55"/>
      <c r="Q17" s="9"/>
      <c r="R17" s="55"/>
      <c r="S17" s="55"/>
      <c r="T17" s="55"/>
      <c r="U17" s="5"/>
      <c r="V17" s="55"/>
      <c r="W17" s="9"/>
      <c r="X17" s="55"/>
      <c r="Y17" s="28"/>
    </row>
    <row r="18" spans="5:25" ht="18" customHeight="1" x14ac:dyDescent="0.25">
      <c r="E18" s="36">
        <v>21</v>
      </c>
      <c r="H18" s="60" t="s">
        <v>51</v>
      </c>
      <c r="I18" s="60"/>
      <c r="J18" s="61"/>
      <c r="K18" s="61"/>
      <c r="L18" s="61"/>
      <c r="M18" s="393">
        <f>E18/100</f>
        <v>0.21</v>
      </c>
      <c r="N18" s="394"/>
      <c r="O18" s="59" t="s">
        <v>50</v>
      </c>
      <c r="P18" s="349">
        <f>J15/(1+M18)+N15/(1+M18)^2+R15/(1+M18)^3+V15/(1+M18)^4+X15/(1+M18)^5-D3</f>
        <v>8683209.3033368587</v>
      </c>
      <c r="Q18" s="349"/>
      <c r="R18" s="349"/>
      <c r="S18" s="349"/>
    </row>
    <row r="19" spans="5:25" ht="7.5" customHeight="1" x14ac:dyDescent="0.25">
      <c r="J19" s="54"/>
      <c r="K19" s="54"/>
      <c r="L19" s="54"/>
      <c r="M19" s="54"/>
    </row>
    <row r="20" spans="5:25" ht="17.25" customHeight="1" x14ac:dyDescent="0.25">
      <c r="E20" s="36">
        <v>22</v>
      </c>
      <c r="H20" s="60" t="s">
        <v>52</v>
      </c>
      <c r="I20" s="60"/>
      <c r="J20" s="61"/>
      <c r="K20" s="61"/>
      <c r="L20" s="61"/>
      <c r="M20" s="393">
        <f>E20/100</f>
        <v>0.22</v>
      </c>
      <c r="N20" s="394"/>
      <c r="O20" s="59" t="s">
        <v>50</v>
      </c>
      <c r="P20" s="349">
        <f>J15/(1+M20)+N15/(1+M20)^2+R15/(1+M20)^3+V15/(1+M20)^4+X15/(1+M20)^5-D3</f>
        <v>-11294576.04621923</v>
      </c>
      <c r="Q20" s="349"/>
      <c r="R20" s="349"/>
      <c r="S20" s="349"/>
    </row>
    <row r="21" spans="5:25" s="62" customFormat="1" ht="17.25" customHeight="1" x14ac:dyDescent="0.25">
      <c r="E21" s="63"/>
      <c r="H21" s="53"/>
      <c r="I21" s="53"/>
      <c r="J21" s="64"/>
      <c r="K21" s="64"/>
      <c r="L21" s="64"/>
      <c r="M21" s="65"/>
      <c r="N21" s="65"/>
      <c r="O21" s="66"/>
      <c r="P21" s="67"/>
      <c r="Q21" s="67"/>
      <c r="R21" s="67"/>
      <c r="S21" s="67"/>
    </row>
    <row r="22" spans="5:25" s="62" customFormat="1" ht="17.25" customHeight="1" x14ac:dyDescent="0.25">
      <c r="E22" s="63"/>
      <c r="H22" s="68" t="s">
        <v>53</v>
      </c>
      <c r="I22" s="68"/>
      <c r="J22" s="69"/>
      <c r="K22" s="69"/>
      <c r="L22" s="69"/>
      <c r="M22" s="70"/>
      <c r="N22" s="70"/>
      <c r="O22" s="71"/>
      <c r="P22" s="72"/>
      <c r="Q22" s="72"/>
      <c r="R22" s="72"/>
      <c r="S22" s="72"/>
      <c r="T22" s="73"/>
      <c r="U22" s="73"/>
      <c r="V22" s="73"/>
    </row>
    <row r="23" spans="5:25" s="62" customFormat="1" ht="15" customHeight="1" x14ac:dyDescent="0.25">
      <c r="E23" s="63"/>
      <c r="H23" s="68"/>
      <c r="I23" s="76"/>
      <c r="J23" s="190" t="s">
        <v>54</v>
      </c>
      <c r="K23" s="69"/>
      <c r="L23" s="69"/>
      <c r="M23" s="79" t="s">
        <v>6</v>
      </c>
      <c r="N23" s="77" t="str">
        <f>TEXT(P18,"#.000")&amp;" + "&amp;TEXT(IF(P20&lt;0,-P20,P20),"#.000")</f>
        <v>8.683.209 + 11.294.576</v>
      </c>
      <c r="O23" s="71"/>
      <c r="P23" s="72"/>
      <c r="U23" s="73"/>
      <c r="V23" s="73"/>
    </row>
    <row r="24" spans="5:25" x14ac:dyDescent="0.25">
      <c r="H24" s="74"/>
      <c r="I24" s="74"/>
      <c r="J24" s="75"/>
      <c r="K24" s="75"/>
      <c r="L24" s="75"/>
      <c r="M24" s="80" t="s">
        <v>6</v>
      </c>
      <c r="N24" s="389">
        <f>P18+IF(P20&lt;0,-P20,P20)</f>
        <v>19977785.349556088</v>
      </c>
      <c r="O24" s="389"/>
      <c r="P24" s="389"/>
      <c r="Q24" s="389"/>
      <c r="U24" s="74"/>
      <c r="V24" s="74"/>
    </row>
    <row r="25" spans="5:25" ht="7.5" customHeight="1" x14ac:dyDescent="0.25">
      <c r="H25" s="74"/>
      <c r="I25" s="74"/>
      <c r="J25" s="75"/>
      <c r="K25" s="75"/>
      <c r="L25" s="75"/>
      <c r="M25" s="80"/>
      <c r="N25" s="72"/>
      <c r="O25" s="72"/>
      <c r="P25" s="72"/>
      <c r="Q25" s="72"/>
      <c r="U25" s="74"/>
      <c r="V25" s="74"/>
    </row>
    <row r="26" spans="5:25" x14ac:dyDescent="0.25">
      <c r="H26" s="74"/>
      <c r="I26" s="78"/>
      <c r="J26" s="75" t="s">
        <v>39</v>
      </c>
      <c r="K26" s="75"/>
      <c r="L26" s="75"/>
      <c r="M26" s="80" t="s">
        <v>6</v>
      </c>
      <c r="N26" s="1" t="str">
        <f>TEXT(M18,"#%")&amp;" + ("&amp;TEXT(P18,"#.000")&amp;" / "&amp;TEXT(N24,"#.000")&amp;") x ("&amp;TEXT(M20,"#%")&amp;" - "&amp;TEXT(M18,"#%")&amp;")"</f>
        <v>21% + (8.683.209 / 19.977.785) x (22% - 21%)</v>
      </c>
      <c r="P26" s="72"/>
      <c r="Q26" s="72"/>
      <c r="U26" s="74"/>
      <c r="V26" s="74"/>
    </row>
    <row r="27" spans="5:25" x14ac:dyDescent="0.25">
      <c r="H27" s="74"/>
      <c r="I27" s="74"/>
      <c r="J27" s="75"/>
      <c r="K27" s="75"/>
      <c r="L27" s="75"/>
      <c r="M27" s="80" t="s">
        <v>6</v>
      </c>
      <c r="N27" s="390">
        <f>M18+(P18/N24)*(M20-M18)</f>
        <v>0.21434643237546339</v>
      </c>
      <c r="O27" s="391"/>
      <c r="P27" s="72"/>
      <c r="Q27" s="72"/>
      <c r="U27" s="74"/>
      <c r="V27" s="74"/>
    </row>
    <row r="28" spans="5:25" x14ac:dyDescent="0.25">
      <c r="H28" s="74"/>
      <c r="I28" s="74"/>
      <c r="J28" s="75"/>
      <c r="K28" s="75"/>
      <c r="L28" s="75"/>
      <c r="M28" s="80" t="s">
        <v>6</v>
      </c>
      <c r="N28" s="392">
        <f>N27</f>
        <v>0.21434643237546339</v>
      </c>
      <c r="O28" s="392"/>
      <c r="P28" s="72"/>
      <c r="Q28" s="72"/>
      <c r="U28" s="74"/>
      <c r="V28" s="74"/>
    </row>
    <row r="30" spans="5:25" x14ac:dyDescent="0.25">
      <c r="F30" s="14"/>
      <c r="G30" s="1" t="s">
        <v>49</v>
      </c>
    </row>
    <row r="31" spans="5:25" x14ac:dyDescent="0.25">
      <c r="I31" s="10" t="s">
        <v>6</v>
      </c>
      <c r="J31" s="57" t="s">
        <v>245</v>
      </c>
    </row>
    <row r="32" spans="5:25" x14ac:dyDescent="0.25">
      <c r="I32" s="10" t="s">
        <v>6</v>
      </c>
      <c r="J32" s="387">
        <f>IRR(J4:M9,J10)</f>
        <v>0.21430222512988562</v>
      </c>
      <c r="K32" s="388"/>
      <c r="L32" s="388"/>
      <c r="M32" s="58" t="str">
        <f ca="1">"&lt;&lt;&lt; "&amp;_xlfn.FORMULATEXT(J32)</f>
        <v>&lt;&lt;&lt; =IRR(J4:M9;J10)</v>
      </c>
      <c r="O32" s="52"/>
      <c r="P32" s="52"/>
    </row>
    <row r="33" spans="6:16" x14ac:dyDescent="0.25">
      <c r="G33" s="10"/>
      <c r="H33" s="10"/>
      <c r="I33" s="10"/>
      <c r="J33" s="37"/>
      <c r="K33" s="38"/>
      <c r="L33" s="38"/>
      <c r="N33" s="29"/>
      <c r="O33" s="29"/>
      <c r="P33" s="29"/>
    </row>
    <row r="34" spans="6:16" x14ac:dyDescent="0.25">
      <c r="F34" s="14"/>
      <c r="G34" s="28" t="s">
        <v>34</v>
      </c>
      <c r="H34" s="28"/>
      <c r="I34" s="28"/>
      <c r="J34" s="39" t="str">
        <f>IF(J32&gt;D10,"- IRR &gt; retur diinginkan, usulan proyek diterima","IRR &lt; retur diinginkan, usulan proyek ditolak")</f>
        <v>- IRR &gt; retur diinginkan, usulan proyek diterima</v>
      </c>
      <c r="L34" s="38"/>
      <c r="N34" s="29"/>
      <c r="O34" s="29"/>
      <c r="P34" s="29"/>
    </row>
    <row r="35" spans="6:16" ht="19.5" customHeight="1" x14ac:dyDescent="0.25"/>
  </sheetData>
  <mergeCells count="36">
    <mergeCell ref="B11:D12"/>
    <mergeCell ref="P13:P14"/>
    <mergeCell ref="Q13:R13"/>
    <mergeCell ref="J32:L32"/>
    <mergeCell ref="N16:P16"/>
    <mergeCell ref="R16:T16"/>
    <mergeCell ref="N24:Q24"/>
    <mergeCell ref="N27:O27"/>
    <mergeCell ref="N28:O28"/>
    <mergeCell ref="M18:N18"/>
    <mergeCell ref="P18:S18"/>
    <mergeCell ref="M20:N20"/>
    <mergeCell ref="P20:S20"/>
    <mergeCell ref="H13:I14"/>
    <mergeCell ref="W15:W16"/>
    <mergeCell ref="Y15:Y16"/>
    <mergeCell ref="J16:L16"/>
    <mergeCell ref="H15:I16"/>
    <mergeCell ref="S13:S14"/>
    <mergeCell ref="T13:U13"/>
    <mergeCell ref="V13:V14"/>
    <mergeCell ref="J15:L15"/>
    <mergeCell ref="M15:M16"/>
    <mergeCell ref="N15:P15"/>
    <mergeCell ref="Q15:Q16"/>
    <mergeCell ref="R15:T15"/>
    <mergeCell ref="U15:U16"/>
    <mergeCell ref="K13:K14"/>
    <mergeCell ref="L13:M13"/>
    <mergeCell ref="N13:N14"/>
    <mergeCell ref="J9:M9"/>
    <mergeCell ref="J4:M4"/>
    <mergeCell ref="J5:M5"/>
    <mergeCell ref="J6:M6"/>
    <mergeCell ref="J7:M7"/>
    <mergeCell ref="J8:M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Scroll Bar 1">
              <controlPr defaultSize="0" autoPict="0">
                <anchor moveWithCells="1">
                  <from>
                    <xdr:col>2</xdr:col>
                    <xdr:colOff>352425</xdr:colOff>
                    <xdr:row>4</xdr:row>
                    <xdr:rowOff>9525</xdr:rowOff>
                  </from>
                  <to>
                    <xdr:col>2</xdr:col>
                    <xdr:colOff>838200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Scroll Bar 2">
              <controlPr defaultSize="0" autoPict="0">
                <anchor moveWithCells="1">
                  <from>
                    <xdr:col>2</xdr:col>
                    <xdr:colOff>352425</xdr:colOff>
                    <xdr:row>2</xdr:row>
                    <xdr:rowOff>28575</xdr:rowOff>
                  </from>
                  <to>
                    <xdr:col>2</xdr:col>
                    <xdr:colOff>838200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Scroll Bar 3">
              <controlPr defaultSize="0" autoPict="0">
                <anchor moveWithCells="1">
                  <from>
                    <xdr:col>2</xdr:col>
                    <xdr:colOff>352425</xdr:colOff>
                    <xdr:row>5</xdr:row>
                    <xdr:rowOff>9525</xdr:rowOff>
                  </from>
                  <to>
                    <xdr:col>2</xdr:col>
                    <xdr:colOff>838200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Scroll Bar 4">
              <controlPr defaultSize="0" autoPict="0">
                <anchor moveWithCells="1">
                  <from>
                    <xdr:col>2</xdr:col>
                    <xdr:colOff>352425</xdr:colOff>
                    <xdr:row>6</xdr:row>
                    <xdr:rowOff>9525</xdr:rowOff>
                  </from>
                  <to>
                    <xdr:col>2</xdr:col>
                    <xdr:colOff>838200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7" name="Scroll Bar 5">
              <controlPr defaultSize="0" autoPict="0">
                <anchor moveWithCells="1">
                  <from>
                    <xdr:col>2</xdr:col>
                    <xdr:colOff>352425</xdr:colOff>
                    <xdr:row>7</xdr:row>
                    <xdr:rowOff>9525</xdr:rowOff>
                  </from>
                  <to>
                    <xdr:col>2</xdr:col>
                    <xdr:colOff>838200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8" name="Scroll Bar 6">
              <controlPr defaultSize="0" autoPict="0">
                <anchor moveWithCells="1">
                  <from>
                    <xdr:col>2</xdr:col>
                    <xdr:colOff>352425</xdr:colOff>
                    <xdr:row>8</xdr:row>
                    <xdr:rowOff>9525</xdr:rowOff>
                  </from>
                  <to>
                    <xdr:col>2</xdr:col>
                    <xdr:colOff>838200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9" name="Scroll Bar 7">
              <controlPr defaultSize="0" autoPict="0">
                <anchor moveWithCells="1">
                  <from>
                    <xdr:col>2</xdr:col>
                    <xdr:colOff>352425</xdr:colOff>
                    <xdr:row>9</xdr:row>
                    <xdr:rowOff>9525</xdr:rowOff>
                  </from>
                  <to>
                    <xdr:col>2</xdr:col>
                    <xdr:colOff>838200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0" name="Scroll Bar 8">
              <controlPr defaultSize="0" autoPict="0">
                <anchor moveWithCells="1">
                  <from>
                    <xdr:col>9</xdr:col>
                    <xdr:colOff>323850</xdr:colOff>
                    <xdr:row>17</xdr:row>
                    <xdr:rowOff>38100</xdr:rowOff>
                  </from>
                  <to>
                    <xdr:col>11</xdr:col>
                    <xdr:colOff>171450</xdr:colOff>
                    <xdr:row>17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1" name="Scroll Bar 9">
              <controlPr defaultSize="0" autoPict="0">
                <anchor moveWithCells="1">
                  <from>
                    <xdr:col>9</xdr:col>
                    <xdr:colOff>323850</xdr:colOff>
                    <xdr:row>19</xdr:row>
                    <xdr:rowOff>19050</xdr:rowOff>
                  </from>
                  <to>
                    <xdr:col>11</xdr:col>
                    <xdr:colOff>171450</xdr:colOff>
                    <xdr:row>19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39"/>
  <sheetViews>
    <sheetView showGridLines="0" zoomScaleNormal="100" workbookViewId="0">
      <selection activeCell="AK82" sqref="AK82"/>
    </sheetView>
  </sheetViews>
  <sheetFormatPr defaultRowHeight="15" x14ac:dyDescent="0.25"/>
  <cols>
    <col min="1" max="1" width="5.85546875" style="1" customWidth="1"/>
    <col min="2" max="2" width="9.42578125" style="1" customWidth="1"/>
    <col min="3" max="3" width="19.28515625" style="1" customWidth="1"/>
    <col min="4" max="4" width="15.140625" style="1" customWidth="1"/>
    <col min="5" max="5" width="4.28515625" style="1" customWidth="1"/>
    <col min="6" max="6" width="0.85546875" style="1" customWidth="1"/>
    <col min="7" max="7" width="4" style="1" customWidth="1"/>
    <col min="8" max="8" width="0.85546875" style="1" customWidth="1"/>
    <col min="9" max="9" width="4.85546875" style="1" customWidth="1"/>
    <col min="10" max="10" width="5" style="1" customWidth="1"/>
    <col min="11" max="11" width="2.7109375" style="1" customWidth="1"/>
    <col min="12" max="12" width="5.28515625" style="1" customWidth="1"/>
    <col min="13" max="13" width="2.28515625" style="1" customWidth="1"/>
    <col min="14" max="14" width="5.5703125" style="1" customWidth="1"/>
    <col min="15" max="15" width="3" style="1" customWidth="1"/>
    <col min="16" max="16" width="1" style="1" customWidth="1"/>
    <col min="17" max="17" width="2.42578125" style="1" customWidth="1"/>
    <col min="18" max="18" width="2.28515625" style="1" customWidth="1"/>
    <col min="19" max="19" width="2.85546875" style="1" customWidth="1"/>
    <col min="20" max="20" width="5.85546875" style="1" customWidth="1"/>
    <col min="21" max="21" width="3.140625" style="1" customWidth="1"/>
    <col min="22" max="22" width="2.28515625" style="1" customWidth="1"/>
    <col min="23" max="23" width="9.5703125" style="1" customWidth="1"/>
    <col min="24" max="24" width="2.140625" style="1" customWidth="1"/>
    <col min="25" max="25" width="2.28515625" style="1" customWidth="1"/>
    <col min="26" max="26" width="9.5703125" style="1" customWidth="1"/>
    <col min="27" max="27" width="2.140625" style="1" customWidth="1"/>
    <col min="28" max="28" width="14" style="1" customWidth="1"/>
    <col min="29" max="29" width="2.5703125" style="1" customWidth="1"/>
    <col min="30" max="30" width="2.28515625" style="1" customWidth="1"/>
    <col min="31" max="31" width="5.85546875" style="1" customWidth="1"/>
    <col min="32" max="16384" width="9.140625" style="1"/>
  </cols>
  <sheetData>
    <row r="1" spans="1:30" ht="19.5" customHeight="1" x14ac:dyDescent="0.25"/>
    <row r="2" spans="1:30" ht="18.75" x14ac:dyDescent="0.25">
      <c r="B2" s="20" t="s">
        <v>170</v>
      </c>
    </row>
    <row r="3" spans="1:30" ht="18" customHeight="1" x14ac:dyDescent="0.25">
      <c r="A3" s="36">
        <v>1500</v>
      </c>
      <c r="B3" s="30" t="s">
        <v>152</v>
      </c>
      <c r="C3" s="31"/>
      <c r="D3" s="34">
        <f t="shared" ref="D3:D8" si="0">A3*1000000</f>
        <v>1500000000</v>
      </c>
      <c r="F3" s="14"/>
      <c r="G3" s="1" t="s">
        <v>3</v>
      </c>
    </row>
    <row r="4" spans="1:30" ht="18" customHeight="1" x14ac:dyDescent="0.25">
      <c r="A4" s="36">
        <v>400</v>
      </c>
      <c r="B4" s="30" t="s">
        <v>153</v>
      </c>
      <c r="C4" s="180">
        <v>1</v>
      </c>
      <c r="D4" s="34">
        <f t="shared" si="0"/>
        <v>400000000</v>
      </c>
      <c r="I4" s="161" t="s">
        <v>13</v>
      </c>
      <c r="J4" s="349">
        <f>-D3</f>
        <v>-1500000000</v>
      </c>
      <c r="K4" s="349"/>
      <c r="L4" s="349"/>
      <c r="M4" s="349"/>
    </row>
    <row r="5" spans="1:30" ht="18" customHeight="1" x14ac:dyDescent="0.25">
      <c r="A5" s="36">
        <v>525</v>
      </c>
      <c r="B5" s="32"/>
      <c r="C5" s="180">
        <v>2</v>
      </c>
      <c r="D5" s="34">
        <f t="shared" si="0"/>
        <v>525000000</v>
      </c>
      <c r="I5" s="161" t="s">
        <v>14</v>
      </c>
      <c r="J5" s="349">
        <f>D4</f>
        <v>400000000</v>
      </c>
      <c r="K5" s="349"/>
      <c r="L5" s="349"/>
    </row>
    <row r="6" spans="1:30" ht="18" customHeight="1" x14ac:dyDescent="0.25">
      <c r="A6" s="36">
        <v>600</v>
      </c>
      <c r="B6" s="32"/>
      <c r="C6" s="180">
        <v>3</v>
      </c>
      <c r="D6" s="34">
        <f t="shared" si="0"/>
        <v>600000000</v>
      </c>
      <c r="I6" s="161" t="s">
        <v>15</v>
      </c>
      <c r="J6" s="349">
        <f>D5</f>
        <v>525000000</v>
      </c>
      <c r="K6" s="349"/>
      <c r="L6" s="349"/>
    </row>
    <row r="7" spans="1:30" ht="18" customHeight="1" x14ac:dyDescent="0.25">
      <c r="A7" s="36">
        <v>600</v>
      </c>
      <c r="B7" s="32"/>
      <c r="C7" s="180">
        <v>4</v>
      </c>
      <c r="D7" s="34">
        <f t="shared" si="0"/>
        <v>600000000</v>
      </c>
      <c r="I7" s="161" t="s">
        <v>16</v>
      </c>
      <c r="J7" s="349">
        <f>D6</f>
        <v>600000000</v>
      </c>
      <c r="K7" s="349"/>
      <c r="L7" s="349"/>
    </row>
    <row r="8" spans="1:30" ht="18" customHeight="1" x14ac:dyDescent="0.25">
      <c r="A8" s="36">
        <v>600</v>
      </c>
      <c r="B8" s="32"/>
      <c r="C8" s="180">
        <v>5</v>
      </c>
      <c r="D8" s="34">
        <f t="shared" si="0"/>
        <v>600000000</v>
      </c>
      <c r="I8" s="161" t="s">
        <v>17</v>
      </c>
      <c r="J8" s="349">
        <f>D7</f>
        <v>600000000</v>
      </c>
      <c r="K8" s="349"/>
      <c r="L8" s="349"/>
    </row>
    <row r="9" spans="1:30" ht="18" customHeight="1" x14ac:dyDescent="0.25">
      <c r="A9" s="36">
        <v>15</v>
      </c>
      <c r="B9" s="309" t="s">
        <v>42</v>
      </c>
      <c r="C9" s="340"/>
      <c r="D9" s="343">
        <f>A9/100</f>
        <v>0.15</v>
      </c>
      <c r="I9" s="161" t="s">
        <v>18</v>
      </c>
      <c r="J9" s="349">
        <f>D8</f>
        <v>600000000</v>
      </c>
      <c r="K9" s="349"/>
      <c r="L9" s="349"/>
    </row>
    <row r="10" spans="1:30" x14ac:dyDescent="0.25">
      <c r="B10" s="384" t="str">
        <f>"IRR ("&amp;TEXT(IRR(J4:M9,D9),"#,00%")&amp;") "&amp;IF(IRR(J3:M8,J9),"&gt; retur diinginkan ("&amp;TEXT(D9,"#,00%")&amp;"), usulan proyek diterima","&lt; retur diinginkan ("&amp;TEXT(D9,"#,00%")&amp;"), usulan proyek ditolak")</f>
        <v>IRR (22,11%) &gt; retur diinginkan (15,00%), usulan proyek diterima</v>
      </c>
      <c r="C10" s="384"/>
      <c r="D10" s="384"/>
    </row>
    <row r="11" spans="1:30" ht="15" customHeight="1" x14ac:dyDescent="0.25">
      <c r="B11" s="384"/>
      <c r="C11" s="384"/>
      <c r="D11" s="384"/>
      <c r="F11" s="14"/>
      <c r="G11" s="1" t="s">
        <v>39</v>
      </c>
    </row>
    <row r="12" spans="1:30" ht="18" x14ac:dyDescent="0.25">
      <c r="I12" s="351" t="s">
        <v>6</v>
      </c>
      <c r="J12" s="164" t="s">
        <v>20</v>
      </c>
      <c r="K12" s="361" t="s">
        <v>29</v>
      </c>
      <c r="L12" s="164" t="s">
        <v>21</v>
      </c>
      <c r="M12" s="361" t="s">
        <v>29</v>
      </c>
      <c r="N12" s="164" t="s">
        <v>22</v>
      </c>
      <c r="O12" s="361" t="s">
        <v>29</v>
      </c>
      <c r="P12" s="355" t="s">
        <v>23</v>
      </c>
      <c r="Q12" s="355"/>
      <c r="R12" s="355"/>
      <c r="S12" s="361" t="s">
        <v>29</v>
      </c>
      <c r="T12" s="164" t="s">
        <v>24</v>
      </c>
      <c r="U12" s="352" t="s">
        <v>9</v>
      </c>
    </row>
    <row r="13" spans="1:30" ht="17.25" x14ac:dyDescent="0.25">
      <c r="I13" s="351"/>
      <c r="J13" s="1" t="s">
        <v>19</v>
      </c>
      <c r="K13" s="361"/>
      <c r="L13" s="1" t="s">
        <v>155</v>
      </c>
      <c r="M13" s="361"/>
      <c r="N13" s="1" t="s">
        <v>156</v>
      </c>
      <c r="O13" s="361"/>
      <c r="P13" s="1" t="s">
        <v>157</v>
      </c>
      <c r="S13" s="361"/>
      <c r="T13" s="1" t="s">
        <v>158</v>
      </c>
      <c r="U13" s="352"/>
    </row>
    <row r="14" spans="1:30" x14ac:dyDescent="0.25">
      <c r="I14" s="351" t="s">
        <v>6</v>
      </c>
      <c r="J14" s="362">
        <f>J5</f>
        <v>400000000</v>
      </c>
      <c r="K14" s="362"/>
      <c r="L14" s="362"/>
      <c r="M14" s="361" t="s">
        <v>29</v>
      </c>
      <c r="N14" s="362">
        <f>J6</f>
        <v>525000000</v>
      </c>
      <c r="O14" s="362"/>
      <c r="P14" s="362"/>
      <c r="Q14" s="362"/>
      <c r="R14" s="361" t="s">
        <v>29</v>
      </c>
      <c r="S14" s="362">
        <f>J7</f>
        <v>600000000</v>
      </c>
      <c r="T14" s="362"/>
      <c r="U14" s="362"/>
      <c r="V14" s="361" t="s">
        <v>29</v>
      </c>
      <c r="W14" s="362">
        <f>J8</f>
        <v>600000000</v>
      </c>
      <c r="X14" s="362"/>
      <c r="Y14" s="361" t="s">
        <v>29</v>
      </c>
      <c r="Z14" s="362">
        <f>J9</f>
        <v>600000000</v>
      </c>
      <c r="AA14" s="362"/>
      <c r="AB14" s="353" t="str">
        <f>TEXT(D3,"- #.000")</f>
        <v>- 1.500.000.000</v>
      </c>
      <c r="AC14" s="353" t="s">
        <v>6</v>
      </c>
      <c r="AD14" s="353">
        <v>0</v>
      </c>
    </row>
    <row r="15" spans="1:30" ht="17.25" x14ac:dyDescent="0.25">
      <c r="I15" s="351"/>
      <c r="J15" s="399" t="s">
        <v>172</v>
      </c>
      <c r="K15" s="361"/>
      <c r="L15" s="361"/>
      <c r="M15" s="361"/>
      <c r="N15" s="351" t="str">
        <f>J15</f>
        <v>(1 + IRR)</v>
      </c>
      <c r="O15" s="351"/>
      <c r="P15" s="351"/>
      <c r="Q15" s="25">
        <v>2</v>
      </c>
      <c r="R15" s="361"/>
      <c r="S15" s="1" t="str">
        <f>N15</f>
        <v>(1 + IRR)</v>
      </c>
      <c r="U15" s="91">
        <v>3</v>
      </c>
      <c r="V15" s="361"/>
      <c r="W15" s="161" t="str">
        <f>S15</f>
        <v>(1 + IRR)</v>
      </c>
      <c r="X15" s="91">
        <v>4</v>
      </c>
      <c r="Y15" s="361"/>
      <c r="Z15" s="161" t="str">
        <f>W15</f>
        <v>(1 + IRR)</v>
      </c>
      <c r="AA15" s="91">
        <v>5</v>
      </c>
      <c r="AB15" s="353"/>
      <c r="AC15" s="353"/>
      <c r="AD15" s="353"/>
    </row>
    <row r="16" spans="1:30" ht="12.75" customHeight="1" x14ac:dyDescent="0.25">
      <c r="I16" s="161"/>
      <c r="J16" s="184"/>
      <c r="K16" s="162"/>
      <c r="L16" s="162"/>
      <c r="M16" s="162"/>
      <c r="N16" s="161"/>
      <c r="O16" s="161"/>
      <c r="P16" s="161"/>
      <c r="Q16" s="25"/>
      <c r="R16" s="162"/>
      <c r="U16" s="91"/>
      <c r="V16" s="162"/>
      <c r="W16" s="161"/>
      <c r="X16" s="91"/>
      <c r="Y16" s="162"/>
      <c r="Z16" s="161"/>
      <c r="AA16" s="91"/>
      <c r="AB16" s="163"/>
      <c r="AC16" s="163"/>
      <c r="AD16" s="163"/>
    </row>
    <row r="17" spans="3:30" ht="17.25" customHeight="1" x14ac:dyDescent="0.25">
      <c r="G17" s="36">
        <v>22</v>
      </c>
      <c r="H17" s="151"/>
      <c r="I17" s="163" t="s">
        <v>173</v>
      </c>
      <c r="J17" s="184"/>
      <c r="K17" s="162"/>
      <c r="M17" s="162"/>
      <c r="N17" s="160">
        <f>G17/100</f>
        <v>0.22</v>
      </c>
      <c r="O17" s="161"/>
      <c r="P17" s="161"/>
      <c r="Q17" s="25"/>
      <c r="R17" s="162"/>
      <c r="U17" s="91"/>
      <c r="V17" s="162"/>
      <c r="W17" s="161"/>
      <c r="X17" s="91"/>
      <c r="Y17" s="162"/>
      <c r="Z17" s="161"/>
      <c r="AA17" s="91"/>
      <c r="AB17" s="163"/>
      <c r="AC17" s="163"/>
      <c r="AD17" s="163"/>
    </row>
    <row r="18" spans="3:30" x14ac:dyDescent="0.25">
      <c r="I18" s="161" t="s">
        <v>6</v>
      </c>
      <c r="J18" s="7" t="str">
        <f>TEXT(J$5/(1+N17),"#.000 + ")&amp;TEXT(J$6/(1+N17)^2,"#.000 + ")&amp;TEXT(J$7/(1+N17)^3,"#.000 + ")&amp;TEXT(J$8/(1+N17)^4,"#.000 + ")&amp;TEXT(J$9/(1+N17)^5,"#.000 - ")&amp;TEXT(D3,"#.000")</f>
        <v>327.868.852 + 352.727.761 + 330.424.132 + 270.839.453 + 221.999.551 - 1.500.000.000</v>
      </c>
    </row>
    <row r="19" spans="3:30" x14ac:dyDescent="0.25">
      <c r="I19" s="161" t="s">
        <v>6</v>
      </c>
      <c r="J19" s="360">
        <f>J5/(1+N17)+J6/(1+N17)^2+ J7/(1+N17)^3+J8/(1+N17)^4+J9/(1+N17)^5-D3</f>
        <v>3859750.5058219433</v>
      </c>
      <c r="K19" s="360"/>
      <c r="L19" s="360"/>
    </row>
    <row r="20" spans="3:30" ht="12.75" customHeight="1" x14ac:dyDescent="0.25"/>
    <row r="21" spans="3:30" ht="17.25" customHeight="1" x14ac:dyDescent="0.25">
      <c r="G21" s="36">
        <v>23</v>
      </c>
      <c r="H21" s="151"/>
      <c r="I21" s="163" t="s">
        <v>174</v>
      </c>
      <c r="J21" s="184"/>
      <c r="K21" s="162"/>
      <c r="M21" s="162"/>
      <c r="N21" s="160">
        <f>G21/100</f>
        <v>0.23</v>
      </c>
    </row>
    <row r="22" spans="3:30" x14ac:dyDescent="0.25">
      <c r="I22" s="161" t="s">
        <v>6</v>
      </c>
      <c r="J22" s="7" t="str">
        <f>TEXT(J5/(1+N21),"#.000 + ")&amp;TEXT(J6/(1+N21)^2,"#.000 + ")&amp;TEXT(J7/(1+N21)^3,"#.000 + ")&amp;TEXT(J8/(1+N21)^4,"#.000 + ")&amp;TEXT(J9/(1+N21)^5,"#.000 - ")&amp;TEXT(D3,"#.000")</f>
        <v>325.203.252 + 347.015.665 + 322.430.351 + 262.138.497 + 213.120.729 - 1.500.000.000</v>
      </c>
    </row>
    <row r="23" spans="3:30" x14ac:dyDescent="0.25">
      <c r="I23" s="161" t="s">
        <v>6</v>
      </c>
      <c r="J23" s="360">
        <f>J$5/(1+N21)+J$6/(1+N21)^2+ J$7/(1+N21)^3+J$8/(1+N21)^4+J$9/(1+N21)^5-D3</f>
        <v>-30091505.843374729</v>
      </c>
      <c r="K23" s="360"/>
      <c r="L23" s="360"/>
    </row>
    <row r="24" spans="3:30" x14ac:dyDescent="0.25">
      <c r="J24" s="167"/>
      <c r="K24" s="167"/>
      <c r="L24" s="167"/>
    </row>
    <row r="25" spans="3:30" x14ac:dyDescent="0.25">
      <c r="C25" s="171"/>
      <c r="D25" s="165"/>
      <c r="E25" s="167"/>
      <c r="H25" s="109"/>
      <c r="I25" s="1" t="str">
        <f>"NPV berada diantara "&amp;IF(N17&gt;N21,TEXT(N21,"#%"),TEXT(N17,"#%"))&amp;" dan "&amp;IF(N17&lt;N21,TEXT(N21,"#%"),TEXT(N17,"#%"))</f>
        <v>NPV berada diantara 22% dan 23%</v>
      </c>
      <c r="J25" s="167"/>
      <c r="K25" s="167"/>
      <c r="L25" s="167"/>
    </row>
    <row r="26" spans="3:30" x14ac:dyDescent="0.25">
      <c r="C26" s="171"/>
      <c r="D26" s="165"/>
      <c r="E26" s="167"/>
      <c r="I26" s="351" t="s">
        <v>6</v>
      </c>
      <c r="J26" s="395" t="str">
        <f>IF(N21&gt;N17,TEXT(N17,"#% + "),TEXT(N21,"#% + "))</f>
        <v xml:space="preserve">22% + </v>
      </c>
      <c r="K26" s="395"/>
      <c r="L26" s="396">
        <f>J19</f>
        <v>3859750.5058219433</v>
      </c>
      <c r="M26" s="396"/>
      <c r="N26" s="396"/>
      <c r="O26" s="361" t="s">
        <v>175</v>
      </c>
      <c r="P26" s="379" t="str">
        <f>TEXT(N21,"#% - ")&amp;TEXT(N17,"#%")</f>
        <v>23% - 22%</v>
      </c>
      <c r="Q26" s="379"/>
      <c r="R26" s="379"/>
      <c r="S26" s="379"/>
      <c r="T26" s="379"/>
    </row>
    <row r="27" spans="3:30" x14ac:dyDescent="0.25">
      <c r="C27" s="171"/>
      <c r="D27" s="185"/>
      <c r="E27" s="167"/>
      <c r="I27" s="351"/>
      <c r="J27" s="395"/>
      <c r="K27" s="395"/>
      <c r="L27" s="395">
        <f>J19-J23</f>
        <v>33951256.349196672</v>
      </c>
      <c r="M27" s="395"/>
      <c r="N27" s="395"/>
      <c r="O27" s="361"/>
      <c r="P27" s="379"/>
      <c r="Q27" s="379"/>
      <c r="R27" s="379"/>
      <c r="S27" s="379"/>
      <c r="T27" s="379"/>
    </row>
    <row r="28" spans="3:30" x14ac:dyDescent="0.25">
      <c r="D28" s="52"/>
      <c r="I28" s="161" t="s">
        <v>6</v>
      </c>
      <c r="J28" s="397">
        <f>N17+(L26/L27)*(N21-N17)</f>
        <v>0.2211368505678033</v>
      </c>
      <c r="K28" s="397"/>
      <c r="L28" s="397"/>
    </row>
    <row r="29" spans="3:30" ht="12.75" customHeight="1" x14ac:dyDescent="0.25"/>
    <row r="30" spans="3:30" x14ac:dyDescent="0.25">
      <c r="H30" s="14"/>
      <c r="I30" s="1" t="s">
        <v>176</v>
      </c>
    </row>
    <row r="31" spans="3:30" x14ac:dyDescent="0.25">
      <c r="D31" s="52"/>
      <c r="I31" s="161" t="s">
        <v>6</v>
      </c>
      <c r="J31" s="7" t="str">
        <f>TEXT(J$5/(1+J28),"#.000 + ")&amp;TEXT(J$6/(1+J28)^2,"#.000 + ")&amp;TEXT(J$7/(1+J28)^3,"#.000 + ")&amp;TEXT(J$8/(1+J28)^4,"#.000 + ")&amp;TEXT(J$9/(1+J28)^5,"#.000 - ")&amp;TEXT(D3,"#.000")</f>
        <v>327.563.614 + 352.071.304 + 329.502.139 + 269.832.279 + 220.968.091 - 1.500.000.000</v>
      </c>
    </row>
    <row r="32" spans="3:30" x14ac:dyDescent="0.25">
      <c r="I32" s="161" t="s">
        <v>6</v>
      </c>
      <c r="J32" s="360">
        <f>J$5/(1+J28)+J$6/(1+J28)^2+ J$7/(1+J28)^3+J$8/(1+J28)^4+J$9/(1+J28)^5-D3</f>
        <v>-62572.461117982864</v>
      </c>
      <c r="K32" s="360"/>
      <c r="L32" s="360"/>
    </row>
    <row r="33" spans="6:15" ht="12.75" customHeight="1" x14ac:dyDescent="0.25">
      <c r="J33" s="167"/>
      <c r="K33" s="167"/>
      <c r="L33" s="167"/>
    </row>
    <row r="34" spans="6:15" x14ac:dyDescent="0.25">
      <c r="F34" s="14"/>
      <c r="G34" s="1" t="s">
        <v>177</v>
      </c>
    </row>
    <row r="35" spans="6:15" x14ac:dyDescent="0.25">
      <c r="H35" s="161"/>
      <c r="I35" s="161" t="s">
        <v>6</v>
      </c>
      <c r="J35" s="398">
        <f>IRR(J4:M9,D9)</f>
        <v>0.22111867738586644</v>
      </c>
      <c r="K35" s="397"/>
      <c r="L35" s="397"/>
      <c r="M35" s="182" t="str">
        <f ca="1">"&lt;&lt;&lt; "&amp;_xlfn.FORMULATEXT(J35)</f>
        <v>&lt;&lt;&lt; =IRR(J4:M9;D9)</v>
      </c>
      <c r="O35" s="182"/>
    </row>
    <row r="36" spans="6:15" ht="12.75" customHeight="1" x14ac:dyDescent="0.25"/>
    <row r="37" spans="6:15" x14ac:dyDescent="0.25">
      <c r="F37" s="14"/>
      <c r="G37" s="62" t="s">
        <v>82</v>
      </c>
      <c r="H37" s="62"/>
      <c r="I37" s="62"/>
    </row>
    <row r="38" spans="6:15" x14ac:dyDescent="0.25">
      <c r="J38" s="1" t="str">
        <f>"IRR "&amp;IF(J28&gt;D9,"&gt; ","&lt; ")&amp;" return diinginkan"&amp;IF(J28&gt;D9,", usulan proyek diterima",", usulan proyek ditolak")</f>
        <v>IRR &gt;  return diinginkan, usulan proyek diterima</v>
      </c>
    </row>
    <row r="39" spans="6:15" ht="19.5" customHeight="1" x14ac:dyDescent="0.25"/>
  </sheetData>
  <mergeCells count="40">
    <mergeCell ref="B10:D11"/>
    <mergeCell ref="J28:L28"/>
    <mergeCell ref="J32:L32"/>
    <mergeCell ref="J35:L35"/>
    <mergeCell ref="AD14:AD15"/>
    <mergeCell ref="J15:L15"/>
    <mergeCell ref="N15:P15"/>
    <mergeCell ref="J19:L19"/>
    <mergeCell ref="J23:L23"/>
    <mergeCell ref="W14:X14"/>
    <mergeCell ref="AC14:AC15"/>
    <mergeCell ref="V14:V15"/>
    <mergeCell ref="Y14:Y15"/>
    <mergeCell ref="Z14:AA14"/>
    <mergeCell ref="AB14:AB15"/>
    <mergeCell ref="I26:I27"/>
    <mergeCell ref="J26:K27"/>
    <mergeCell ref="L26:N26"/>
    <mergeCell ref="O26:O27"/>
    <mergeCell ref="P26:T27"/>
    <mergeCell ref="L27:N27"/>
    <mergeCell ref="U12:U13"/>
    <mergeCell ref="I14:I15"/>
    <mergeCell ref="J14:L14"/>
    <mergeCell ref="M14:M15"/>
    <mergeCell ref="N14:Q14"/>
    <mergeCell ref="R14:R15"/>
    <mergeCell ref="S14:U14"/>
    <mergeCell ref="P12:R12"/>
    <mergeCell ref="S12:S13"/>
    <mergeCell ref="J9:L9"/>
    <mergeCell ref="I12:I13"/>
    <mergeCell ref="K12:K13"/>
    <mergeCell ref="M12:M13"/>
    <mergeCell ref="O12:O13"/>
    <mergeCell ref="J4:M4"/>
    <mergeCell ref="J5:L5"/>
    <mergeCell ref="J6:L6"/>
    <mergeCell ref="J7:L7"/>
    <mergeCell ref="J8:L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985" r:id="rId3" name="Scroll Bar 1">
              <controlPr defaultSize="0" autoPict="0">
                <anchor moveWithCells="1">
                  <from>
                    <xdr:col>2</xdr:col>
                    <xdr:colOff>714375</xdr:colOff>
                    <xdr:row>3</xdr:row>
                    <xdr:rowOff>47625</xdr:rowOff>
                  </from>
                  <to>
                    <xdr:col>2</xdr:col>
                    <xdr:colOff>1200150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6" r:id="rId4" name="Scroll Bar 2">
              <controlPr defaultSize="0" autoPict="0">
                <anchor moveWithCells="1">
                  <from>
                    <xdr:col>10</xdr:col>
                    <xdr:colOff>133350</xdr:colOff>
                    <xdr:row>16</xdr:row>
                    <xdr:rowOff>19050</xdr:rowOff>
                  </from>
                  <to>
                    <xdr:col>12</xdr:col>
                    <xdr:colOff>85725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7" r:id="rId5" name="Scroll Bar 3">
              <controlPr defaultSize="0" autoPict="0">
                <anchor moveWithCells="1">
                  <from>
                    <xdr:col>2</xdr:col>
                    <xdr:colOff>714375</xdr:colOff>
                    <xdr:row>2</xdr:row>
                    <xdr:rowOff>57150</xdr:rowOff>
                  </from>
                  <to>
                    <xdr:col>2</xdr:col>
                    <xdr:colOff>1200150</xdr:colOff>
                    <xdr:row>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8" r:id="rId6" name="Scroll Bar 4">
              <controlPr defaultSize="0" autoPict="0">
                <anchor moveWithCells="1">
                  <from>
                    <xdr:col>2</xdr:col>
                    <xdr:colOff>714375</xdr:colOff>
                    <xdr:row>4</xdr:row>
                    <xdr:rowOff>38100</xdr:rowOff>
                  </from>
                  <to>
                    <xdr:col>2</xdr:col>
                    <xdr:colOff>1200150</xdr:colOff>
                    <xdr:row>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9" r:id="rId7" name="Scroll Bar 5">
              <controlPr defaultSize="0" autoPict="0">
                <anchor moveWithCells="1">
                  <from>
                    <xdr:col>2</xdr:col>
                    <xdr:colOff>714375</xdr:colOff>
                    <xdr:row>5</xdr:row>
                    <xdr:rowOff>28575</xdr:rowOff>
                  </from>
                  <to>
                    <xdr:col>2</xdr:col>
                    <xdr:colOff>1200150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0" r:id="rId8" name="Scroll Bar 6">
              <controlPr defaultSize="0" autoPict="0">
                <anchor moveWithCells="1">
                  <from>
                    <xdr:col>2</xdr:col>
                    <xdr:colOff>714375</xdr:colOff>
                    <xdr:row>6</xdr:row>
                    <xdr:rowOff>28575</xdr:rowOff>
                  </from>
                  <to>
                    <xdr:col>2</xdr:col>
                    <xdr:colOff>1200150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1" r:id="rId9" name="Scroll Bar 7">
              <controlPr defaultSize="0" autoPict="0">
                <anchor moveWithCells="1">
                  <from>
                    <xdr:col>2</xdr:col>
                    <xdr:colOff>714375</xdr:colOff>
                    <xdr:row>7</xdr:row>
                    <xdr:rowOff>28575</xdr:rowOff>
                  </from>
                  <to>
                    <xdr:col>2</xdr:col>
                    <xdr:colOff>1200150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2" r:id="rId10" name="Scroll Bar 8">
              <controlPr defaultSize="0" autoPict="0">
                <anchor moveWithCells="1">
                  <from>
                    <xdr:col>10</xdr:col>
                    <xdr:colOff>123825</xdr:colOff>
                    <xdr:row>20</xdr:row>
                    <xdr:rowOff>28575</xdr:rowOff>
                  </from>
                  <to>
                    <xdr:col>12</xdr:col>
                    <xdr:colOff>76200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3" r:id="rId11" name="Scroll Bar 9">
              <controlPr defaultSize="0" autoPict="0">
                <anchor moveWithCells="1">
                  <from>
                    <xdr:col>2</xdr:col>
                    <xdr:colOff>714375</xdr:colOff>
                    <xdr:row>8</xdr:row>
                    <xdr:rowOff>19050</xdr:rowOff>
                  </from>
                  <to>
                    <xdr:col>2</xdr:col>
                    <xdr:colOff>1200150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5"/>
  <sheetViews>
    <sheetView showGridLines="0" topLeftCell="A13" zoomScale="98" zoomScaleNormal="98" workbookViewId="0">
      <selection activeCell="B14" sqref="B14:D15"/>
    </sheetView>
  </sheetViews>
  <sheetFormatPr defaultRowHeight="15" x14ac:dyDescent="0.25"/>
  <cols>
    <col min="1" max="1" width="5.85546875" style="1" customWidth="1"/>
    <col min="2" max="2" width="9.140625" style="1"/>
    <col min="3" max="3" width="18" style="1" customWidth="1"/>
    <col min="4" max="4" width="14.28515625" style="1" customWidth="1"/>
    <col min="5" max="5" width="4.28515625" style="1" customWidth="1"/>
    <col min="6" max="6" width="0.85546875" style="1" customWidth="1"/>
    <col min="7" max="7" width="12.28515625" style="1" customWidth="1"/>
    <col min="8" max="8" width="2.5703125" style="1" customWidth="1"/>
    <col min="9" max="9" width="13.5703125" style="1" bestFit="1" customWidth="1"/>
    <col min="10" max="10" width="16.5703125" style="1" customWidth="1"/>
    <col min="11" max="11" width="4.28515625" style="1" customWidth="1"/>
    <col min="12" max="12" width="6.28515625" style="1" customWidth="1"/>
    <col min="13" max="13" width="2.42578125" style="1" customWidth="1"/>
    <col min="14" max="14" width="3.5703125" style="1" customWidth="1"/>
    <col min="15" max="15" width="9.7109375" style="1" customWidth="1"/>
    <col min="16" max="16" width="12" style="1" customWidth="1"/>
    <col min="17" max="17" width="5.85546875" style="1" customWidth="1"/>
    <col min="18" max="16384" width="9.140625" style="1"/>
  </cols>
  <sheetData>
    <row r="1" spans="1:16" ht="19.5" customHeight="1" x14ac:dyDescent="0.25"/>
    <row r="2" spans="1:16" ht="18.75" x14ac:dyDescent="0.25">
      <c r="B2" s="20" t="s">
        <v>67</v>
      </c>
    </row>
    <row r="3" spans="1:16" x14ac:dyDescent="0.25">
      <c r="B3" s="30" t="s">
        <v>68</v>
      </c>
      <c r="C3" s="31"/>
      <c r="D3" s="85" t="s">
        <v>63</v>
      </c>
      <c r="F3" s="14"/>
      <c r="G3" s="1" t="s">
        <v>65</v>
      </c>
    </row>
    <row r="4" spans="1:16" ht="16.5" customHeight="1" x14ac:dyDescent="0.25">
      <c r="A4" s="36">
        <v>500</v>
      </c>
      <c r="B4" s="30" t="s">
        <v>55</v>
      </c>
      <c r="C4" s="31"/>
      <c r="D4" s="34">
        <f>A4*1000000</f>
        <v>500000000</v>
      </c>
      <c r="G4" s="361" t="str">
        <f>"Proyek "&amp;D3</f>
        <v>Proyek ABC</v>
      </c>
      <c r="H4" s="361" t="s">
        <v>6</v>
      </c>
      <c r="I4" s="317">
        <f>D5</f>
        <v>675000000</v>
      </c>
      <c r="J4" s="349">
        <f>-D4</f>
        <v>-500000000</v>
      </c>
    </row>
    <row r="5" spans="1:16" ht="16.5" customHeight="1" x14ac:dyDescent="0.25">
      <c r="A5" s="36">
        <v>675</v>
      </c>
      <c r="B5" s="30" t="s">
        <v>56</v>
      </c>
      <c r="C5" s="31"/>
      <c r="D5" s="34">
        <f>A5*1000000</f>
        <v>675000000</v>
      </c>
      <c r="G5" s="361"/>
      <c r="H5" s="361"/>
      <c r="I5" s="316" t="str">
        <f>"1 + "&amp;TEXT(D9,"#%")</f>
        <v>1 + 15%</v>
      </c>
      <c r="J5" s="349"/>
    </row>
    <row r="6" spans="1:16" x14ac:dyDescent="0.25">
      <c r="A6" s="36"/>
      <c r="B6" s="30" t="s">
        <v>69</v>
      </c>
      <c r="C6" s="31"/>
      <c r="D6" s="88" t="s">
        <v>64</v>
      </c>
      <c r="H6" s="316" t="s">
        <v>6</v>
      </c>
      <c r="I6" s="314">
        <f>I4/(1+D9)-D4</f>
        <v>86956521.739130497</v>
      </c>
    </row>
    <row r="7" spans="1:16" ht="16.5" customHeight="1" x14ac:dyDescent="0.25">
      <c r="A7" s="36">
        <v>950</v>
      </c>
      <c r="B7" s="30" t="s">
        <v>55</v>
      </c>
      <c r="C7" s="31"/>
      <c r="D7" s="34">
        <f>A7*1000000</f>
        <v>950000000</v>
      </c>
    </row>
    <row r="8" spans="1:16" ht="16.5" customHeight="1" x14ac:dyDescent="0.25">
      <c r="A8" s="36">
        <v>1250</v>
      </c>
      <c r="B8" s="30" t="s">
        <v>56</v>
      </c>
      <c r="C8" s="31"/>
      <c r="D8" s="34">
        <f>A8*1000000</f>
        <v>1250000000</v>
      </c>
      <c r="G8" s="361" t="str">
        <f>"Proyek "&amp;D6</f>
        <v>Proyek DEF</v>
      </c>
      <c r="H8" s="361" t="s">
        <v>6</v>
      </c>
      <c r="I8" s="317">
        <f>D8</f>
        <v>1250000000</v>
      </c>
      <c r="J8" s="349">
        <f>-D7</f>
        <v>-950000000</v>
      </c>
    </row>
    <row r="9" spans="1:16" ht="16.5" customHeight="1" x14ac:dyDescent="0.25">
      <c r="A9" s="36">
        <v>15</v>
      </c>
      <c r="B9" s="30" t="s">
        <v>57</v>
      </c>
      <c r="C9" s="31"/>
      <c r="D9" s="35">
        <f>A9/100</f>
        <v>0.15</v>
      </c>
      <c r="G9" s="361"/>
      <c r="H9" s="361"/>
      <c r="I9" s="316" t="str">
        <f>I5</f>
        <v>1 + 15%</v>
      </c>
      <c r="J9" s="349"/>
    </row>
    <row r="10" spans="1:16" ht="15" customHeight="1" x14ac:dyDescent="0.25">
      <c r="B10" s="406" t="str">
        <f>"Berdasarkan NPV yang sebaiknya dipilih, Proyek "&amp;IF(D5/(1+D9)-D4&gt;D8/(1+D9)-D7,D3,D6)&amp;" ("&amp;TEXT(IF(D5/(1+D9)-D4&gt;D8/(1+D9)-D7,D5/(1+D9)-D4,D8/(1+D9)-D7),"#.###")&amp;"), sedangkan jika berdasarkan IRR, yang sebaiknya dipilih Proyek "&amp;IF(D5/D4-1&gt;D8/D7-1,D3,D6)&amp;" ("&amp;TEXT(IF(D5/D4-1&gt;D8/D7-1,D5/D4-1,D8/D7-1),"#,00%)")</f>
        <v>Berdasarkan NPV yang sebaiknya dipilih, Proyek DEF (136.956.522), sedangkan jika berdasarkan IRR, yang sebaiknya dipilih Proyek ABC (35,00%)</v>
      </c>
      <c r="C10" s="406"/>
      <c r="D10" s="406"/>
      <c r="H10" s="316" t="s">
        <v>6</v>
      </c>
      <c r="I10" s="314">
        <f>I8/(1+D9)-D7</f>
        <v>136956521.7391305</v>
      </c>
    </row>
    <row r="11" spans="1:16" x14ac:dyDescent="0.25">
      <c r="B11" s="407"/>
      <c r="C11" s="407"/>
      <c r="D11" s="407"/>
    </row>
    <row r="12" spans="1:16" x14ac:dyDescent="0.25">
      <c r="B12" s="407"/>
      <c r="C12" s="407"/>
      <c r="D12" s="407"/>
      <c r="F12" s="14"/>
      <c r="G12" s="1" t="s">
        <v>66</v>
      </c>
    </row>
    <row r="13" spans="1:16" x14ac:dyDescent="0.25">
      <c r="B13" s="407"/>
      <c r="C13" s="407"/>
      <c r="D13" s="407"/>
      <c r="G13" s="315" t="str">
        <f>G4</f>
        <v>Proyek ABC</v>
      </c>
      <c r="L13" s="313" t="str">
        <f>G8</f>
        <v>Proyek DEF</v>
      </c>
    </row>
    <row r="14" spans="1:16" x14ac:dyDescent="0.25">
      <c r="B14" s="408" t="str">
        <f>"NPV Proyek "&amp;IF(D5/(1+D9)-D4&lt;D8/(1+D9)-D7,D3,D6)&amp;" senilai "&amp;TEXT(IF(D5/(1+D9)-D4&lt;D8/(1+D9)-D7,D5/(1+D9)-D4,D8/(1+D9)-D7),"#.###")&amp;" dan IRR Proyek "&amp;IF(D5/D4-1&lt;D8/D7-1,D3,D6)&amp;" sebesar "&amp;TEXT(IF(D5/D4-1&lt;D8/D7-1,D5/D4-1,D8/D7-1),"#,00%")</f>
        <v>NPV Proyek ABC senilai 86.956.522 dan IRR Proyek DEF sebesar 31,58%</v>
      </c>
      <c r="C14" s="408"/>
      <c r="D14" s="408"/>
      <c r="G14" s="351">
        <v>0</v>
      </c>
      <c r="H14" s="361" t="s">
        <v>6</v>
      </c>
      <c r="I14" s="82">
        <f>D5</f>
        <v>675000000</v>
      </c>
      <c r="J14" s="349">
        <f>-D4</f>
        <v>-500000000</v>
      </c>
      <c r="L14" s="315">
        <v>0</v>
      </c>
      <c r="M14" s="316" t="s">
        <v>6</v>
      </c>
      <c r="N14" s="410">
        <f>D8</f>
        <v>1250000000</v>
      </c>
      <c r="O14" s="410"/>
      <c r="P14" s="314">
        <f>-D7</f>
        <v>-950000000</v>
      </c>
    </row>
    <row r="15" spans="1:16" x14ac:dyDescent="0.25">
      <c r="B15" s="409"/>
      <c r="C15" s="409"/>
      <c r="D15" s="409"/>
      <c r="G15" s="351"/>
      <c r="H15" s="361"/>
      <c r="I15" s="316" t="s">
        <v>44</v>
      </c>
      <c r="J15" s="349"/>
      <c r="L15" s="315"/>
      <c r="M15" s="316"/>
      <c r="N15" s="356" t="s">
        <v>44</v>
      </c>
      <c r="O15" s="356"/>
      <c r="P15" s="314"/>
    </row>
    <row r="16" spans="1:16" x14ac:dyDescent="0.25">
      <c r="G16" s="351" t="s">
        <v>58</v>
      </c>
      <c r="H16" s="361" t="s">
        <v>6</v>
      </c>
      <c r="I16" s="82">
        <f>I14</f>
        <v>675000000</v>
      </c>
      <c r="J16" s="349">
        <v>-1</v>
      </c>
      <c r="L16" s="315" t="s">
        <v>58</v>
      </c>
      <c r="M16" s="316" t="s">
        <v>6</v>
      </c>
      <c r="N16" s="410">
        <f>N14</f>
        <v>1250000000</v>
      </c>
      <c r="O16" s="410"/>
      <c r="P16" s="349">
        <v>-1</v>
      </c>
    </row>
    <row r="17" spans="6:16" x14ac:dyDescent="0.25">
      <c r="G17" s="351"/>
      <c r="H17" s="361"/>
      <c r="I17" s="81">
        <f>D4</f>
        <v>500000000</v>
      </c>
      <c r="J17" s="349"/>
      <c r="L17" s="315"/>
      <c r="M17" s="316"/>
      <c r="N17" s="411">
        <f>D7</f>
        <v>950000000</v>
      </c>
      <c r="O17" s="411"/>
      <c r="P17" s="349"/>
    </row>
    <row r="18" spans="6:16" x14ac:dyDescent="0.25">
      <c r="H18" s="316" t="s">
        <v>6</v>
      </c>
      <c r="I18" s="1" t="str">
        <f>TEXT(I16/I17,"#,00###")&amp;" - 1"</f>
        <v>1,35 - 1</v>
      </c>
      <c r="J18" s="54"/>
      <c r="M18" s="316" t="s">
        <v>6</v>
      </c>
      <c r="N18" s="1" t="str">
        <f>TEXT(N16/N17,"#,00###")&amp;" - 1"</f>
        <v>1,31579 - 1</v>
      </c>
      <c r="P18" s="54"/>
    </row>
    <row r="19" spans="6:16" x14ac:dyDescent="0.25">
      <c r="H19" s="316" t="s">
        <v>6</v>
      </c>
      <c r="I19" s="318">
        <f>I16/I17-1</f>
        <v>0.35000000000000009</v>
      </c>
      <c r="J19" s="54"/>
      <c r="M19" s="316" t="s">
        <v>6</v>
      </c>
      <c r="N19" s="388">
        <f>N16/N17-1</f>
        <v>0.31578947368421062</v>
      </c>
      <c r="O19" s="388"/>
      <c r="P19" s="54"/>
    </row>
    <row r="21" spans="6:16" x14ac:dyDescent="0.25">
      <c r="F21" s="14"/>
      <c r="G21" s="1" t="s">
        <v>59</v>
      </c>
    </row>
    <row r="22" spans="6:16" x14ac:dyDescent="0.25">
      <c r="I22" s="86" t="s">
        <v>60</v>
      </c>
      <c r="J22" s="87" t="s">
        <v>61</v>
      </c>
      <c r="K22" s="404" t="s">
        <v>62</v>
      </c>
      <c r="L22" s="405"/>
      <c r="M22" s="405"/>
      <c r="N22" s="405"/>
    </row>
    <row r="23" spans="6:16" x14ac:dyDescent="0.25">
      <c r="I23" s="84">
        <v>1</v>
      </c>
      <c r="J23" s="344" t="str">
        <f>IF(I6&gt;I10,G4,G8)</f>
        <v>Proyek DEF</v>
      </c>
      <c r="K23" s="400" t="str">
        <f>IF(I19&gt;N19,G13,L13)</f>
        <v>Proyek ABC</v>
      </c>
      <c r="L23" s="401"/>
      <c r="M23" s="401"/>
      <c r="N23" s="401"/>
    </row>
    <row r="24" spans="6:16" x14ac:dyDescent="0.25">
      <c r="I24" s="84">
        <v>2</v>
      </c>
      <c r="J24" s="344" t="str">
        <f>IF(I6&lt;I10,G4,G8)</f>
        <v>Proyek ABC</v>
      </c>
      <c r="K24" s="402" t="str">
        <f>IF(I19&lt;N19,G13,L13)</f>
        <v>Proyek DEF</v>
      </c>
      <c r="L24" s="403"/>
      <c r="M24" s="403"/>
      <c r="N24" s="403"/>
    </row>
    <row r="25" spans="6:16" ht="19.5" customHeight="1" x14ac:dyDescent="0.25"/>
  </sheetData>
  <mergeCells count="23">
    <mergeCell ref="P16:P17"/>
    <mergeCell ref="N15:O15"/>
    <mergeCell ref="N16:O16"/>
    <mergeCell ref="N17:O17"/>
    <mergeCell ref="N19:O19"/>
    <mergeCell ref="K23:N23"/>
    <mergeCell ref="K24:N24"/>
    <mergeCell ref="K22:N22"/>
    <mergeCell ref="B10:D13"/>
    <mergeCell ref="B14:D15"/>
    <mergeCell ref="N14:O14"/>
    <mergeCell ref="G16:G17"/>
    <mergeCell ref="H16:H17"/>
    <mergeCell ref="J16:J17"/>
    <mergeCell ref="J4:J5"/>
    <mergeCell ref="J8:J9"/>
    <mergeCell ref="G14:G15"/>
    <mergeCell ref="H14:H15"/>
    <mergeCell ref="J14:J15"/>
    <mergeCell ref="H4:H5"/>
    <mergeCell ref="H8:H9"/>
    <mergeCell ref="G4:G5"/>
    <mergeCell ref="G8:G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4993" r:id="rId3" name="Scroll Bar 1">
              <controlPr defaultSize="0" autoPict="0">
                <anchor moveWithCells="1">
                  <from>
                    <xdr:col>2</xdr:col>
                    <xdr:colOff>657225</xdr:colOff>
                    <xdr:row>3</xdr:row>
                    <xdr:rowOff>28575</xdr:rowOff>
                  </from>
                  <to>
                    <xdr:col>2</xdr:col>
                    <xdr:colOff>1143000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994" r:id="rId4" name="Scroll Bar 2">
              <controlPr defaultSize="0" autoPict="0">
                <anchor moveWithCells="1">
                  <from>
                    <xdr:col>2</xdr:col>
                    <xdr:colOff>657225</xdr:colOff>
                    <xdr:row>4</xdr:row>
                    <xdr:rowOff>28575</xdr:rowOff>
                  </from>
                  <to>
                    <xdr:col>2</xdr:col>
                    <xdr:colOff>1143000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995" r:id="rId5" name="Scroll Bar 3">
              <controlPr defaultSize="0" autoPict="0">
                <anchor moveWithCells="1">
                  <from>
                    <xdr:col>2</xdr:col>
                    <xdr:colOff>657225</xdr:colOff>
                    <xdr:row>6</xdr:row>
                    <xdr:rowOff>9525</xdr:rowOff>
                  </from>
                  <to>
                    <xdr:col>2</xdr:col>
                    <xdr:colOff>1143000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996" r:id="rId6" name="Scroll Bar 4">
              <controlPr defaultSize="0" autoPict="0">
                <anchor moveWithCells="1">
                  <from>
                    <xdr:col>2</xdr:col>
                    <xdr:colOff>657225</xdr:colOff>
                    <xdr:row>7</xdr:row>
                    <xdr:rowOff>9525</xdr:rowOff>
                  </from>
                  <to>
                    <xdr:col>2</xdr:col>
                    <xdr:colOff>1143000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997" r:id="rId7" name="Scroll Bar 5">
              <controlPr defaultSize="0" autoPict="0">
                <anchor moveWithCells="1">
                  <from>
                    <xdr:col>2</xdr:col>
                    <xdr:colOff>657225</xdr:colOff>
                    <xdr:row>8</xdr:row>
                    <xdr:rowOff>9525</xdr:rowOff>
                  </from>
                  <to>
                    <xdr:col>2</xdr:col>
                    <xdr:colOff>1143000</xdr:colOff>
                    <xdr:row>8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6"/>
  <sheetViews>
    <sheetView showGridLines="0" topLeftCell="A10" zoomScale="93" zoomScaleNormal="93" workbookViewId="0">
      <selection activeCell="I22" sqref="I22:M22"/>
    </sheetView>
  </sheetViews>
  <sheetFormatPr defaultRowHeight="15" x14ac:dyDescent="0.25"/>
  <cols>
    <col min="1" max="1" width="5.85546875" style="1" customWidth="1"/>
    <col min="2" max="2" width="9.140625" style="1"/>
    <col min="3" max="3" width="23.85546875" style="1" customWidth="1"/>
    <col min="4" max="4" width="15.28515625" style="1" customWidth="1"/>
    <col min="5" max="5" width="4.28515625" style="1" customWidth="1"/>
    <col min="6" max="6" width="0.85546875" style="1" customWidth="1"/>
    <col min="7" max="7" width="2.5703125" style="1" customWidth="1"/>
    <col min="8" max="8" width="9.140625" style="1"/>
    <col min="9" max="9" width="0.5703125" style="1" customWidth="1"/>
    <col min="10" max="10" width="2.85546875" style="1" customWidth="1"/>
    <col min="11" max="11" width="6.140625" style="1" customWidth="1"/>
    <col min="12" max="12" width="2" style="1" customWidth="1"/>
    <col min="13" max="13" width="1.85546875" style="1" customWidth="1"/>
    <col min="14" max="14" width="1.28515625" style="1" customWidth="1"/>
    <col min="15" max="15" width="22.85546875" style="1" customWidth="1"/>
    <col min="16" max="16" width="4.28515625" style="1" customWidth="1"/>
    <col min="17" max="17" width="0.85546875" style="1" customWidth="1"/>
    <col min="18" max="18" width="2.5703125" style="1" customWidth="1"/>
    <col min="19" max="19" width="9.140625" style="1"/>
    <col min="20" max="20" width="0.5703125" style="1" customWidth="1"/>
    <col min="21" max="21" width="2.85546875" style="1" customWidth="1"/>
    <col min="22" max="22" width="6.140625" style="1" customWidth="1"/>
    <col min="23" max="23" width="2" style="1" customWidth="1"/>
    <col min="24" max="24" width="2.5703125" style="1" customWidth="1"/>
    <col min="25" max="25" width="1.28515625" style="1" customWidth="1"/>
    <col min="26" max="26" width="30.5703125" style="1" customWidth="1"/>
    <col min="27" max="27" width="5.85546875" style="1" customWidth="1"/>
    <col min="28" max="16384" width="9.140625" style="1"/>
  </cols>
  <sheetData>
    <row r="1" spans="1:26" ht="19.5" customHeight="1" x14ac:dyDescent="0.25"/>
    <row r="2" spans="1:26" ht="18.75" x14ac:dyDescent="0.25">
      <c r="B2" s="20" t="s">
        <v>67</v>
      </c>
    </row>
    <row r="3" spans="1:26" ht="16.5" customHeight="1" x14ac:dyDescent="0.25">
      <c r="B3" s="30" t="s">
        <v>70</v>
      </c>
      <c r="C3" s="97"/>
      <c r="D3" s="98" t="s">
        <v>63</v>
      </c>
      <c r="F3" s="14"/>
      <c r="G3" s="1" t="str">
        <f>"Proyek "&amp;D3</f>
        <v>Proyek ABC</v>
      </c>
      <c r="Q3" s="14"/>
      <c r="R3" s="1" t="str">
        <f>"Proyek "&amp;D7</f>
        <v>Proyek XYZ</v>
      </c>
    </row>
    <row r="4" spans="1:26" ht="16.5" customHeight="1" x14ac:dyDescent="0.25">
      <c r="A4" s="36">
        <v>900</v>
      </c>
      <c r="B4" s="30" t="s">
        <v>71</v>
      </c>
      <c r="C4" s="97"/>
      <c r="D4" s="34">
        <f>A4*1000000</f>
        <v>900000000</v>
      </c>
      <c r="H4" s="1" t="s">
        <v>3</v>
      </c>
      <c r="S4" s="1" t="s">
        <v>3</v>
      </c>
    </row>
    <row r="5" spans="1:26" ht="16.5" customHeight="1" x14ac:dyDescent="0.25">
      <c r="A5" s="36"/>
      <c r="B5" s="30" t="s">
        <v>100</v>
      </c>
      <c r="C5" s="97"/>
      <c r="D5" s="99">
        <v>5</v>
      </c>
      <c r="H5" s="10" t="s">
        <v>13</v>
      </c>
      <c r="I5" s="349">
        <f>D4</f>
        <v>900000000</v>
      </c>
      <c r="J5" s="349"/>
      <c r="K5" s="349"/>
      <c r="L5" s="349"/>
      <c r="M5" s="349"/>
      <c r="N5" s="6"/>
      <c r="S5" s="10" t="s">
        <v>13</v>
      </c>
      <c r="T5" s="349">
        <f>D8</f>
        <v>1200000000</v>
      </c>
      <c r="U5" s="349"/>
      <c r="V5" s="349"/>
      <c r="W5" s="349"/>
      <c r="X5" s="349"/>
      <c r="Y5" s="6"/>
    </row>
    <row r="6" spans="1:26" ht="16.5" customHeight="1" x14ac:dyDescent="0.25">
      <c r="A6" s="36">
        <v>400</v>
      </c>
      <c r="B6" s="30" t="s">
        <v>73</v>
      </c>
      <c r="C6" s="97"/>
      <c r="D6" s="34">
        <f>A6*1000000</f>
        <v>400000000</v>
      </c>
      <c r="H6" s="10" t="s">
        <v>75</v>
      </c>
      <c r="I6" s="353">
        <f>D5</f>
        <v>5</v>
      </c>
      <c r="J6" s="353"/>
      <c r="K6" s="353"/>
      <c r="L6" s="28"/>
      <c r="M6" s="28"/>
      <c r="N6" s="28"/>
      <c r="S6" s="10" t="s">
        <v>75</v>
      </c>
      <c r="T6" s="353">
        <f>D9</f>
        <v>8</v>
      </c>
      <c r="U6" s="353"/>
      <c r="V6" s="353"/>
      <c r="W6" s="28"/>
      <c r="X6" s="28"/>
      <c r="Y6" s="28"/>
    </row>
    <row r="7" spans="1:26" ht="16.5" customHeight="1" x14ac:dyDescent="0.25">
      <c r="A7" s="36"/>
      <c r="B7" s="30" t="s">
        <v>70</v>
      </c>
      <c r="C7" s="97"/>
      <c r="D7" s="98" t="s">
        <v>83</v>
      </c>
      <c r="H7" s="10" t="s">
        <v>38</v>
      </c>
      <c r="I7" s="349">
        <f>D6</f>
        <v>400000000</v>
      </c>
      <c r="J7" s="349"/>
      <c r="K7" s="349"/>
      <c r="L7" s="349"/>
      <c r="M7" s="349"/>
      <c r="N7" s="6"/>
      <c r="S7" s="10" t="s">
        <v>38</v>
      </c>
      <c r="T7" s="349">
        <f>D10</f>
        <v>375000000</v>
      </c>
      <c r="U7" s="349"/>
      <c r="V7" s="349"/>
      <c r="W7" s="349"/>
      <c r="X7" s="349"/>
      <c r="Y7" s="6"/>
    </row>
    <row r="8" spans="1:26" ht="16.5" customHeight="1" x14ac:dyDescent="0.25">
      <c r="A8" s="36">
        <v>1200</v>
      </c>
      <c r="B8" s="30" t="s">
        <v>71</v>
      </c>
      <c r="C8" s="97"/>
      <c r="D8" s="34">
        <f>A8*1000000</f>
        <v>1200000000</v>
      </c>
      <c r="H8" s="10" t="s">
        <v>4</v>
      </c>
      <c r="I8" s="379">
        <f>D11</f>
        <v>0.1</v>
      </c>
      <c r="J8" s="379"/>
      <c r="K8" s="379"/>
      <c r="L8" s="28"/>
      <c r="M8" s="28"/>
      <c r="N8" s="28"/>
      <c r="S8" s="10" t="s">
        <v>4</v>
      </c>
      <c r="T8" s="379">
        <f>D11</f>
        <v>0.1</v>
      </c>
      <c r="U8" s="379"/>
      <c r="V8" s="379"/>
      <c r="W8" s="28"/>
      <c r="X8" s="28"/>
      <c r="Y8" s="28"/>
    </row>
    <row r="9" spans="1:26" ht="16.5" customHeight="1" x14ac:dyDescent="0.25">
      <c r="A9" s="36"/>
      <c r="B9" s="30" t="s">
        <v>100</v>
      </c>
      <c r="C9" s="97"/>
      <c r="D9" s="99">
        <v>8</v>
      </c>
    </row>
    <row r="10" spans="1:26" ht="16.5" customHeight="1" x14ac:dyDescent="0.35">
      <c r="A10" s="36">
        <v>375</v>
      </c>
      <c r="B10" s="30" t="s">
        <v>73</v>
      </c>
      <c r="C10" s="97"/>
      <c r="D10" s="34">
        <f>A10*1000000</f>
        <v>375000000</v>
      </c>
      <c r="H10" s="351" t="s">
        <v>76</v>
      </c>
      <c r="I10" s="10"/>
      <c r="J10" s="376" t="s">
        <v>77</v>
      </c>
      <c r="K10" s="90" t="s">
        <v>78</v>
      </c>
      <c r="L10" s="352" t="s">
        <v>9</v>
      </c>
      <c r="M10" s="352"/>
      <c r="S10" s="10" t="s">
        <v>76</v>
      </c>
      <c r="T10" s="10"/>
      <c r="U10" s="376" t="s">
        <v>77</v>
      </c>
      <c r="V10" s="90" t="s">
        <v>78</v>
      </c>
      <c r="W10" s="352" t="s">
        <v>9</v>
      </c>
      <c r="X10" s="352"/>
    </row>
    <row r="11" spans="1:26" ht="16.5" customHeight="1" x14ac:dyDescent="0.25">
      <c r="A11" s="36">
        <v>10</v>
      </c>
      <c r="B11" s="309" t="s">
        <v>74</v>
      </c>
      <c r="C11" s="345"/>
      <c r="D11" s="342">
        <f>A11/100</f>
        <v>0.1</v>
      </c>
      <c r="H11" s="351"/>
      <c r="J11" s="376"/>
      <c r="K11" s="9" t="s">
        <v>79</v>
      </c>
      <c r="L11" s="352"/>
      <c r="M11" s="352"/>
      <c r="U11" s="376"/>
      <c r="V11" s="9" t="s">
        <v>79</v>
      </c>
      <c r="W11" s="352"/>
      <c r="X11" s="352"/>
    </row>
    <row r="12" spans="1:26" ht="15" customHeight="1" x14ac:dyDescent="0.25">
      <c r="B12" s="412" t="str">
        <f>"karena EAV "&amp;IF(((1-(1+D11)^-D5)/D11*D6-D4)/((1-(1+D11)^-D5)/D11)&gt;((1-(1+D11)^-D9)/D11*D10-D8)/((1-(1+D11)^-D9)/D11),"Proyek "&amp;D3&amp;" &gt; Proyek "&amp;D7&amp;", yang dipilih Proyek "&amp;D3,"Proyek "&amp;D7&amp;" &gt; Proyek "&amp;D3&amp;", yang dipilih Proyek "&amp;D7)</f>
        <v>karena EAV Proyek ABC &gt; Proyek XYZ, yang dipilih Proyek ABC</v>
      </c>
      <c r="C12" s="412"/>
      <c r="D12" s="412"/>
      <c r="H12" s="351" t="s">
        <v>6</v>
      </c>
      <c r="J12" s="92" t="str">
        <f>"1 - (1 + "&amp;TEXT(I8,"0,0##"&amp;")")</f>
        <v>1 - (1 + 0,1)</v>
      </c>
      <c r="K12" s="92"/>
      <c r="L12" s="92"/>
      <c r="M12" s="93">
        <f>-I6</f>
        <v>-5</v>
      </c>
      <c r="N12" s="91"/>
      <c r="O12" s="353" t="str">
        <f>TEXT(I7,"#.000")&amp;" - "&amp;TEXT(I5,"#.000")</f>
        <v>400.000.000 - 900.000.000</v>
      </c>
      <c r="S12" s="351" t="s">
        <v>6</v>
      </c>
      <c r="U12" s="92" t="str">
        <f>"1 - (1 + "&amp;TEXT(T8,"0,0##"&amp;")")</f>
        <v>1 - (1 + 0,1)</v>
      </c>
      <c r="V12" s="92"/>
      <c r="W12" s="92"/>
      <c r="X12" s="93">
        <f>-T6</f>
        <v>-8</v>
      </c>
      <c r="Y12" s="91"/>
      <c r="Z12" s="353" t="str">
        <f>TEXT(T7,"#.000")&amp;" - "&amp;TEXT(T5,"#.000")</f>
        <v>375.000.000 - 1.200.000.000</v>
      </c>
    </row>
    <row r="13" spans="1:26" ht="15" customHeight="1" x14ac:dyDescent="0.25">
      <c r="B13" s="412"/>
      <c r="C13" s="412"/>
      <c r="D13" s="412"/>
      <c r="H13" s="351"/>
      <c r="J13" s="356" t="str">
        <f>TEXT(I8,"0,00##")</f>
        <v>0,10</v>
      </c>
      <c r="K13" s="356"/>
      <c r="L13" s="356"/>
      <c r="O13" s="353"/>
      <c r="S13" s="351"/>
      <c r="U13" s="356" t="str">
        <f>TEXT(T8,"0,00##")</f>
        <v>0,10</v>
      </c>
      <c r="V13" s="356"/>
      <c r="W13" s="356"/>
      <c r="Z13" s="353"/>
    </row>
    <row r="14" spans="1:26" ht="15" customHeight="1" x14ac:dyDescent="0.25">
      <c r="H14" s="161" t="s">
        <v>6</v>
      </c>
      <c r="I14" s="349">
        <f>(1-(1+I8)^-I6)/I8*I7-I5</f>
        <v>616314707.76338029</v>
      </c>
      <c r="J14" s="349"/>
      <c r="K14" s="349"/>
      <c r="L14" s="349"/>
      <c r="M14" s="349"/>
      <c r="N14" s="349"/>
      <c r="S14" s="10" t="s">
        <v>6</v>
      </c>
      <c r="T14" s="349">
        <f>(1-(1+T8)^-T6)/T8*T7-T5</f>
        <v>800597324.2135005</v>
      </c>
      <c r="U14" s="349"/>
      <c r="V14" s="349"/>
      <c r="W14" s="349"/>
      <c r="X14" s="349"/>
      <c r="Y14" s="349"/>
      <c r="Z14" s="54"/>
    </row>
    <row r="16" spans="1:26" x14ac:dyDescent="0.25">
      <c r="I16" s="355" t="s">
        <v>0</v>
      </c>
      <c r="J16" s="355"/>
      <c r="K16" s="355"/>
      <c r="T16" s="355" t="s">
        <v>0</v>
      </c>
      <c r="U16" s="355"/>
      <c r="V16" s="355"/>
    </row>
    <row r="17" spans="3:25" ht="17.25" x14ac:dyDescent="0.25">
      <c r="H17" s="10" t="s">
        <v>80</v>
      </c>
      <c r="I17" s="94" t="s">
        <v>81</v>
      </c>
      <c r="J17" s="94"/>
      <c r="K17" s="94"/>
      <c r="S17" s="10" t="s">
        <v>80</v>
      </c>
      <c r="T17" s="94" t="s">
        <v>81</v>
      </c>
      <c r="U17" s="94"/>
      <c r="V17" s="94"/>
    </row>
    <row r="18" spans="3:25" x14ac:dyDescent="0.25">
      <c r="I18" s="356" t="s">
        <v>7</v>
      </c>
      <c r="J18" s="356"/>
      <c r="K18" s="356"/>
      <c r="T18" s="356" t="s">
        <v>7</v>
      </c>
      <c r="U18" s="356"/>
      <c r="V18" s="356"/>
    </row>
    <row r="19" spans="3:25" x14ac:dyDescent="0.25">
      <c r="C19" s="7"/>
      <c r="I19" s="362">
        <f>I14</f>
        <v>616314707.76338029</v>
      </c>
      <c r="J19" s="362"/>
      <c r="K19" s="362"/>
      <c r="L19" s="362"/>
      <c r="M19" s="362"/>
      <c r="N19" s="54"/>
      <c r="O19" s="1" t="str">
        <f ca="1">_xlfn.FORMULATEXT(I19)</f>
        <v>=I14</v>
      </c>
      <c r="T19" s="362">
        <f>T14</f>
        <v>800597324.2135005</v>
      </c>
      <c r="U19" s="362"/>
      <c r="V19" s="362"/>
      <c r="W19" s="362"/>
      <c r="X19" s="362"/>
      <c r="Y19" s="54"/>
    </row>
    <row r="20" spans="3:25" ht="17.25" x14ac:dyDescent="0.25">
      <c r="C20" s="7"/>
      <c r="H20" s="10" t="s">
        <v>6</v>
      </c>
      <c r="I20" s="413" t="str">
        <f>"1 - (1 + "&amp;TEXT(I8,"0,00##")&amp;")"</f>
        <v>1 - (1 + 0,10)</v>
      </c>
      <c r="J20" s="413"/>
      <c r="K20" s="413"/>
      <c r="L20" s="413"/>
      <c r="M20" s="95">
        <f>-I6</f>
        <v>-5</v>
      </c>
      <c r="N20" s="89"/>
      <c r="S20" s="10" t="s">
        <v>6</v>
      </c>
      <c r="T20" s="413" t="str">
        <f>"1 - (1 + "&amp;TEXT(T8,"0,00##")&amp;")"</f>
        <v>1 - (1 + 0,10)</v>
      </c>
      <c r="U20" s="413"/>
      <c r="V20" s="413"/>
      <c r="W20" s="413"/>
      <c r="X20" s="95">
        <f>-T6</f>
        <v>-8</v>
      </c>
      <c r="Y20" s="89"/>
    </row>
    <row r="21" spans="3:25" ht="17.25" x14ac:dyDescent="0.25">
      <c r="I21" s="414">
        <f>D11</f>
        <v>0.1</v>
      </c>
      <c r="J21" s="414"/>
      <c r="K21" s="414"/>
      <c r="L21" s="414"/>
      <c r="M21" s="414"/>
      <c r="N21" s="89"/>
      <c r="S21" s="10"/>
      <c r="T21" s="414">
        <f>T8</f>
        <v>0.1</v>
      </c>
      <c r="U21" s="414"/>
      <c r="V21" s="414"/>
      <c r="W21" s="414"/>
      <c r="X21" s="414"/>
      <c r="Y21" s="89"/>
    </row>
    <row r="22" spans="3:25" x14ac:dyDescent="0.25">
      <c r="H22" s="10" t="s">
        <v>6</v>
      </c>
      <c r="I22" s="360">
        <f>I19/((1-(1+I8)^-I6)/I8)</f>
        <v>162582267.28472933</v>
      </c>
      <c r="J22" s="360"/>
      <c r="K22" s="360"/>
      <c r="L22" s="360"/>
      <c r="M22" s="360"/>
      <c r="S22" s="10" t="s">
        <v>6</v>
      </c>
      <c r="T22" s="360">
        <f>T19/((1-(1+T8)^-T6)/T8)</f>
        <v>150067178.91022396</v>
      </c>
      <c r="U22" s="360"/>
      <c r="V22" s="360"/>
      <c r="W22" s="360"/>
      <c r="X22" s="360"/>
    </row>
    <row r="24" spans="3:25" x14ac:dyDescent="0.25">
      <c r="Q24" s="14"/>
      <c r="R24" s="1" t="s">
        <v>82</v>
      </c>
    </row>
    <row r="25" spans="3:25" x14ac:dyDescent="0.25">
      <c r="S25" s="1" t="str">
        <f>"karena EAV "&amp;IF(I22&gt;T22,G3&amp;" &gt; "&amp;R3&amp;", yang dipilih "&amp;G3,R3&amp;" &gt; "&amp;G3&amp;", yang dipilih "&amp;R3)</f>
        <v>karena EAV Proyek ABC &gt; Proyek XYZ, yang dipilih Proyek ABC</v>
      </c>
    </row>
    <row r="26" spans="3:25" ht="19.5" customHeight="1" x14ac:dyDescent="0.25"/>
  </sheetData>
  <mergeCells count="34">
    <mergeCell ref="B12:D13"/>
    <mergeCell ref="T20:W20"/>
    <mergeCell ref="T21:X21"/>
    <mergeCell ref="T22:X22"/>
    <mergeCell ref="S12:S13"/>
    <mergeCell ref="H12:H13"/>
    <mergeCell ref="T19:X19"/>
    <mergeCell ref="I22:M22"/>
    <mergeCell ref="I20:L20"/>
    <mergeCell ref="I19:M19"/>
    <mergeCell ref="I21:M21"/>
    <mergeCell ref="O12:O13"/>
    <mergeCell ref="I14:N14"/>
    <mergeCell ref="I16:K16"/>
    <mergeCell ref="I18:K18"/>
    <mergeCell ref="Z12:Z13"/>
    <mergeCell ref="U13:W13"/>
    <mergeCell ref="T14:Y14"/>
    <mergeCell ref="T16:V16"/>
    <mergeCell ref="T18:V18"/>
    <mergeCell ref="T5:X5"/>
    <mergeCell ref="T6:V6"/>
    <mergeCell ref="T7:X7"/>
    <mergeCell ref="T8:V8"/>
    <mergeCell ref="U10:U11"/>
    <mergeCell ref="W10:X11"/>
    <mergeCell ref="H10:H11"/>
    <mergeCell ref="J10:J11"/>
    <mergeCell ref="J13:L13"/>
    <mergeCell ref="I5:M5"/>
    <mergeCell ref="I6:K6"/>
    <mergeCell ref="I7:M7"/>
    <mergeCell ref="I8:K8"/>
    <mergeCell ref="L10:M1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Scroll Bar 1">
              <controlPr defaultSize="0" autoPict="0">
                <anchor moveWithCells="1">
                  <from>
                    <xdr:col>2</xdr:col>
                    <xdr:colOff>1047750</xdr:colOff>
                    <xdr:row>5</xdr:row>
                    <xdr:rowOff>19050</xdr:rowOff>
                  </from>
                  <to>
                    <xdr:col>2</xdr:col>
                    <xdr:colOff>1533525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Scroll Bar 2">
              <controlPr defaultSize="0" autoPict="0">
                <anchor moveWithCells="1">
                  <from>
                    <xdr:col>2</xdr:col>
                    <xdr:colOff>1047750</xdr:colOff>
                    <xdr:row>7</xdr:row>
                    <xdr:rowOff>9525</xdr:rowOff>
                  </from>
                  <to>
                    <xdr:col>2</xdr:col>
                    <xdr:colOff>1533525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Scroll Bar 3">
              <controlPr defaultSize="0" autoPict="0">
                <anchor moveWithCells="1">
                  <from>
                    <xdr:col>2</xdr:col>
                    <xdr:colOff>1047750</xdr:colOff>
                    <xdr:row>8</xdr:row>
                    <xdr:rowOff>9525</xdr:rowOff>
                  </from>
                  <to>
                    <xdr:col>2</xdr:col>
                    <xdr:colOff>1533525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Scroll Bar 4">
              <controlPr defaultSize="0" autoPict="0">
                <anchor moveWithCells="1">
                  <from>
                    <xdr:col>2</xdr:col>
                    <xdr:colOff>1047750</xdr:colOff>
                    <xdr:row>9</xdr:row>
                    <xdr:rowOff>9525</xdr:rowOff>
                  </from>
                  <to>
                    <xdr:col>2</xdr:col>
                    <xdr:colOff>1533525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7" name="Scroll Bar 5">
              <controlPr defaultSize="0" autoPict="0">
                <anchor moveWithCells="1">
                  <from>
                    <xdr:col>2</xdr:col>
                    <xdr:colOff>1047750</xdr:colOff>
                    <xdr:row>10</xdr:row>
                    <xdr:rowOff>9525</xdr:rowOff>
                  </from>
                  <to>
                    <xdr:col>2</xdr:col>
                    <xdr:colOff>1533525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8" name="Scroll Bar 6">
              <controlPr defaultSize="0" autoPict="0">
                <anchor moveWithCells="1">
                  <from>
                    <xdr:col>2</xdr:col>
                    <xdr:colOff>1047750</xdr:colOff>
                    <xdr:row>3</xdr:row>
                    <xdr:rowOff>19050</xdr:rowOff>
                  </from>
                  <to>
                    <xdr:col>2</xdr:col>
                    <xdr:colOff>1533525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9" name="Scroll Bar 7">
              <controlPr defaultSize="0" autoPict="0">
                <anchor moveWithCells="1">
                  <from>
                    <xdr:col>2</xdr:col>
                    <xdr:colOff>1047750</xdr:colOff>
                    <xdr:row>4</xdr:row>
                    <xdr:rowOff>19050</xdr:rowOff>
                  </from>
                  <to>
                    <xdr:col>2</xdr:col>
                    <xdr:colOff>1533525</xdr:colOff>
                    <xdr:row>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2"/>
  <sheetViews>
    <sheetView showGridLines="0" topLeftCell="C13" zoomScaleNormal="100" workbookViewId="0">
      <selection activeCell="K28" sqref="K28:L28"/>
    </sheetView>
  </sheetViews>
  <sheetFormatPr defaultRowHeight="15" x14ac:dyDescent="0.25"/>
  <cols>
    <col min="1" max="1" width="5.85546875" style="1" customWidth="1"/>
    <col min="2" max="2" width="9.140625" style="1"/>
    <col min="3" max="3" width="23.85546875" style="1" customWidth="1"/>
    <col min="4" max="4" width="15.28515625" style="1" customWidth="1"/>
    <col min="5" max="5" width="4.28515625" style="1" customWidth="1"/>
    <col min="6" max="6" width="0.85546875" style="1" customWidth="1"/>
    <col min="7" max="7" width="2.5703125" style="1" customWidth="1"/>
    <col min="8" max="8" width="9.28515625" style="1" customWidth="1"/>
    <col min="9" max="9" width="1.85546875" style="1" customWidth="1"/>
    <col min="10" max="10" width="2.140625" style="1" customWidth="1"/>
    <col min="11" max="11" width="14.140625" style="1" customWidth="1"/>
    <col min="12" max="12" width="2.140625" style="1" customWidth="1"/>
    <col min="13" max="13" width="4.28515625" style="1" customWidth="1"/>
    <col min="14" max="14" width="0.85546875" style="1" customWidth="1"/>
    <col min="15" max="15" width="2.5703125" style="1" customWidth="1"/>
    <col min="16" max="16" width="8.140625" style="1" customWidth="1"/>
    <col min="17" max="17" width="2.85546875" style="1" customWidth="1"/>
    <col min="18" max="18" width="1.85546875" style="1" customWidth="1"/>
    <col min="19" max="19" width="14.140625" style="1" customWidth="1"/>
    <col min="20" max="20" width="2.28515625" style="1" customWidth="1"/>
    <col min="21" max="21" width="5.85546875" style="1" customWidth="1"/>
    <col min="22" max="16384" width="9.140625" style="1"/>
  </cols>
  <sheetData>
    <row r="1" spans="1:20" ht="19.5" customHeight="1" x14ac:dyDescent="0.25"/>
    <row r="2" spans="1:20" ht="18.75" x14ac:dyDescent="0.25">
      <c r="B2" s="20" t="s">
        <v>67</v>
      </c>
    </row>
    <row r="3" spans="1:20" ht="16.5" customHeight="1" x14ac:dyDescent="0.25">
      <c r="B3" s="30" t="s">
        <v>70</v>
      </c>
      <c r="C3" s="97"/>
      <c r="D3" s="98" t="s">
        <v>63</v>
      </c>
      <c r="F3" s="14"/>
      <c r="G3" s="1" t="str">
        <f>"Proyek "&amp;D3</f>
        <v>Proyek ABC</v>
      </c>
      <c r="N3" s="14"/>
      <c r="O3" s="1" t="str">
        <f>"Proyek "&amp;D7</f>
        <v>Proyek XYZ</v>
      </c>
    </row>
    <row r="4" spans="1:20" ht="16.5" customHeight="1" x14ac:dyDescent="0.25">
      <c r="A4" s="36">
        <v>900</v>
      </c>
      <c r="B4" s="30" t="s">
        <v>71</v>
      </c>
      <c r="C4" s="97"/>
      <c r="D4" s="34">
        <f>A4*1000000</f>
        <v>900000000</v>
      </c>
      <c r="I4" s="10" t="s">
        <v>3</v>
      </c>
      <c r="J4" s="10"/>
      <c r="P4" s="1" t="s">
        <v>3</v>
      </c>
    </row>
    <row r="5" spans="1:20" ht="16.5" customHeight="1" x14ac:dyDescent="0.25">
      <c r="A5" s="36"/>
      <c r="B5" s="30" t="s">
        <v>72</v>
      </c>
      <c r="C5" s="97"/>
      <c r="D5" s="99">
        <v>5</v>
      </c>
      <c r="J5" s="10" t="s">
        <v>13</v>
      </c>
      <c r="K5" s="83">
        <f>D4</f>
        <v>900000000</v>
      </c>
      <c r="L5" s="6"/>
      <c r="Q5" s="10"/>
      <c r="R5" s="10" t="s">
        <v>13</v>
      </c>
      <c r="S5" s="54">
        <f>D8</f>
        <v>1200000000</v>
      </c>
      <c r="T5" s="54"/>
    </row>
    <row r="6" spans="1:20" ht="16.5" customHeight="1" x14ac:dyDescent="0.25">
      <c r="A6" s="36">
        <v>400</v>
      </c>
      <c r="B6" s="30" t="s">
        <v>73</v>
      </c>
      <c r="C6" s="97"/>
      <c r="D6" s="34">
        <f>A6*1000000</f>
        <v>400000000</v>
      </c>
      <c r="J6" s="10" t="s">
        <v>4</v>
      </c>
      <c r="K6" s="51">
        <f>D11</f>
        <v>0.12</v>
      </c>
      <c r="L6" s="28"/>
      <c r="Q6" s="10"/>
      <c r="R6" s="10" t="s">
        <v>4</v>
      </c>
      <c r="S6" s="50">
        <f>D11</f>
        <v>0.12</v>
      </c>
      <c r="T6" s="107"/>
    </row>
    <row r="7" spans="1:20" ht="16.5" customHeight="1" x14ac:dyDescent="0.2">
      <c r="A7" s="36"/>
      <c r="B7" s="30" t="s">
        <v>70</v>
      </c>
      <c r="C7" s="97"/>
      <c r="D7" s="98" t="s">
        <v>83</v>
      </c>
      <c r="H7" s="10" t="s">
        <v>84</v>
      </c>
      <c r="I7" s="103">
        <f>1</f>
        <v>1</v>
      </c>
      <c r="J7" s="10" t="s">
        <v>6</v>
      </c>
      <c r="K7" s="83">
        <f>D6</f>
        <v>400000000</v>
      </c>
      <c r="L7" s="54"/>
      <c r="P7" s="10" t="s">
        <v>84</v>
      </c>
      <c r="Q7" s="102">
        <v>1</v>
      </c>
      <c r="R7" s="10" t="str">
        <f>IF(Q7="","","=")</f>
        <v>=</v>
      </c>
      <c r="S7" s="54">
        <f>D10</f>
        <v>375000000</v>
      </c>
      <c r="T7" s="54"/>
    </row>
    <row r="8" spans="1:20" ht="16.5" customHeight="1" x14ac:dyDescent="0.2">
      <c r="A8" s="36">
        <v>1200</v>
      </c>
      <c r="B8" s="30" t="s">
        <v>71</v>
      </c>
      <c r="C8" s="97"/>
      <c r="D8" s="34">
        <f>A8*1000000</f>
        <v>1200000000</v>
      </c>
      <c r="H8" s="10" t="str">
        <f>IF(I8="","",H7)</f>
        <v>CF</v>
      </c>
      <c r="I8" s="103">
        <f>IF(I7&lt;D$5,I7+1,"")</f>
        <v>2</v>
      </c>
      <c r="J8" s="10" t="str">
        <f>IF(I8="","","=")</f>
        <v>=</v>
      </c>
      <c r="K8" s="83">
        <f>IF(I8="","",K7)</f>
        <v>400000000</v>
      </c>
      <c r="L8" s="28"/>
      <c r="P8" s="10" t="str">
        <f>IF(Q8="","",P7)</f>
        <v>CF</v>
      </c>
      <c r="Q8" s="102">
        <f>IF(Q7&lt;D$9,Q7+1,"")</f>
        <v>2</v>
      </c>
      <c r="R8" s="10" t="str">
        <f t="shared" ref="R8:R16" si="0">IF(Q8="","","=")</f>
        <v>=</v>
      </c>
      <c r="S8" s="54">
        <f>IF(Q8="","",S7)</f>
        <v>375000000</v>
      </c>
      <c r="T8" s="50"/>
    </row>
    <row r="9" spans="1:20" ht="16.5" customHeight="1" x14ac:dyDescent="0.2">
      <c r="A9" s="36"/>
      <c r="B9" s="30" t="s">
        <v>72</v>
      </c>
      <c r="C9" s="97"/>
      <c r="D9" s="99">
        <v>8</v>
      </c>
      <c r="H9" s="10" t="str">
        <f t="shared" ref="H9:H12" si="1">IF(I9="","",H8)</f>
        <v>CF</v>
      </c>
      <c r="I9" s="103">
        <f t="shared" ref="I9:I12" si="2">IF(I8&lt;D$5,I8+1,"")</f>
        <v>3</v>
      </c>
      <c r="J9" s="10" t="str">
        <f t="shared" ref="J9:J12" si="3">IF(I9="","","=")</f>
        <v>=</v>
      </c>
      <c r="K9" s="83">
        <f t="shared" ref="K9:K12" si="4">IF(I9="","",K8)</f>
        <v>400000000</v>
      </c>
      <c r="P9" s="10" t="str">
        <f t="shared" ref="P9:P15" si="5">IF(Q9="","",P8)</f>
        <v>CF</v>
      </c>
      <c r="Q9" s="102">
        <f t="shared" ref="Q9:Q15" si="6">IF(Q8&lt;D$9,Q8+1,"")</f>
        <v>3</v>
      </c>
      <c r="R9" s="10" t="str">
        <f t="shared" si="0"/>
        <v>=</v>
      </c>
      <c r="S9" s="54">
        <f t="shared" ref="S9:S16" si="7">IF(Q9="","",S8)</f>
        <v>375000000</v>
      </c>
    </row>
    <row r="10" spans="1:20" ht="16.5" customHeight="1" x14ac:dyDescent="0.2">
      <c r="A10" s="36">
        <v>375</v>
      </c>
      <c r="B10" s="30" t="s">
        <v>73</v>
      </c>
      <c r="C10" s="97"/>
      <c r="D10" s="34">
        <f>A10*1000000</f>
        <v>375000000</v>
      </c>
      <c r="H10" s="10" t="str">
        <f t="shared" si="1"/>
        <v>CF</v>
      </c>
      <c r="I10" s="103">
        <f t="shared" si="2"/>
        <v>4</v>
      </c>
      <c r="J10" s="10" t="str">
        <f t="shared" si="3"/>
        <v>=</v>
      </c>
      <c r="K10" s="83">
        <f t="shared" si="4"/>
        <v>400000000</v>
      </c>
      <c r="L10" s="415"/>
      <c r="P10" s="10" t="str">
        <f t="shared" si="5"/>
        <v>CF</v>
      </c>
      <c r="Q10" s="102">
        <f t="shared" si="6"/>
        <v>4</v>
      </c>
      <c r="R10" s="10" t="str">
        <f t="shared" si="0"/>
        <v>=</v>
      </c>
      <c r="S10" s="54">
        <f t="shared" si="7"/>
        <v>375000000</v>
      </c>
      <c r="T10" s="108"/>
    </row>
    <row r="11" spans="1:20" ht="16.5" customHeight="1" x14ac:dyDescent="0.2">
      <c r="A11" s="36">
        <v>12</v>
      </c>
      <c r="B11" s="309" t="s">
        <v>74</v>
      </c>
      <c r="C11" s="345"/>
      <c r="D11" s="342">
        <f>A11/100</f>
        <v>0.12</v>
      </c>
      <c r="H11" s="10" t="str">
        <f t="shared" si="1"/>
        <v>CF</v>
      </c>
      <c r="I11" s="103">
        <f t="shared" si="2"/>
        <v>5</v>
      </c>
      <c r="J11" s="10" t="str">
        <f t="shared" si="3"/>
        <v>=</v>
      </c>
      <c r="K11" s="83">
        <f t="shared" si="4"/>
        <v>400000000</v>
      </c>
      <c r="L11" s="415"/>
      <c r="P11" s="10" t="str">
        <f t="shared" si="5"/>
        <v>CF</v>
      </c>
      <c r="Q11" s="102">
        <f t="shared" si="6"/>
        <v>5</v>
      </c>
      <c r="R11" s="10" t="str">
        <f t="shared" si="0"/>
        <v>=</v>
      </c>
      <c r="S11" s="54">
        <f t="shared" si="7"/>
        <v>375000000</v>
      </c>
      <c r="T11" s="108"/>
    </row>
    <row r="12" spans="1:20" ht="15" customHeight="1" x14ac:dyDescent="0.2">
      <c r="B12" s="412" t="str">
        <f>"karena EAV "&amp;IF(((1-(1+D11)^-D5)/D11*D6-D4)/((1-(1+D11)^-D5)/D11)&gt;((1-(1+D11)^-D9)/D11*D10-D8)/((1-(1+D11)^-D9)/D11),"Proyek "&amp;D3&amp;" &gt; Proyek "&amp;D7&amp;", yang sebaiknya dipilih Proyek "&amp;D3,"Proyek "&amp;D7&amp;" &gt; Proyek "&amp;D3&amp;", yang dipilih Proyek "&amp;D7)</f>
        <v>karena EAV Proyek ABC &gt; Proyek XYZ, yang sebaiknya dipilih Proyek ABC</v>
      </c>
      <c r="C12" s="412"/>
      <c r="D12" s="412"/>
      <c r="H12" s="10" t="str">
        <f t="shared" si="1"/>
        <v/>
      </c>
      <c r="I12" s="103" t="str">
        <f t="shared" si="2"/>
        <v/>
      </c>
      <c r="J12" s="10" t="str">
        <f t="shared" si="3"/>
        <v/>
      </c>
      <c r="K12" s="6" t="str">
        <f t="shared" si="4"/>
        <v/>
      </c>
      <c r="L12" s="105"/>
      <c r="P12" s="10" t="str">
        <f t="shared" si="5"/>
        <v>CF</v>
      </c>
      <c r="Q12" s="102">
        <f t="shared" si="6"/>
        <v>6</v>
      </c>
      <c r="R12" s="10" t="str">
        <f t="shared" si="0"/>
        <v>=</v>
      </c>
      <c r="S12" s="54">
        <f t="shared" si="7"/>
        <v>375000000</v>
      </c>
      <c r="T12" s="104"/>
    </row>
    <row r="13" spans="1:20" ht="15" customHeight="1" x14ac:dyDescent="0.2">
      <c r="B13" s="412"/>
      <c r="C13" s="412"/>
      <c r="D13" s="412"/>
      <c r="L13" s="104"/>
      <c r="P13" s="10" t="str">
        <f t="shared" si="5"/>
        <v>CF</v>
      </c>
      <c r="Q13" s="102">
        <f t="shared" si="6"/>
        <v>7</v>
      </c>
      <c r="R13" s="10" t="str">
        <f t="shared" si="0"/>
        <v>=</v>
      </c>
      <c r="S13" s="54">
        <f t="shared" si="7"/>
        <v>375000000</v>
      </c>
      <c r="T13" s="104"/>
    </row>
    <row r="14" spans="1:20" ht="16.5" customHeight="1" x14ac:dyDescent="0.2">
      <c r="K14" s="349"/>
      <c r="L14" s="349"/>
      <c r="P14" s="10" t="str">
        <f t="shared" si="5"/>
        <v>CF</v>
      </c>
      <c r="Q14" s="102">
        <f t="shared" si="6"/>
        <v>8</v>
      </c>
      <c r="R14" s="10" t="str">
        <f t="shared" si="0"/>
        <v>=</v>
      </c>
      <c r="S14" s="54">
        <f t="shared" si="7"/>
        <v>375000000</v>
      </c>
      <c r="T14" s="54"/>
    </row>
    <row r="15" spans="1:20" ht="16.5" hidden="1" customHeight="1" x14ac:dyDescent="0.2">
      <c r="P15" s="10" t="str">
        <f t="shared" si="5"/>
        <v/>
      </c>
      <c r="Q15" s="102" t="str">
        <f t="shared" si="6"/>
        <v/>
      </c>
      <c r="R15" s="10" t="str">
        <f t="shared" si="0"/>
        <v/>
      </c>
      <c r="S15" s="54" t="str">
        <f t="shared" si="7"/>
        <v/>
      </c>
    </row>
    <row r="16" spans="1:20" ht="16.5" hidden="1" customHeight="1" x14ac:dyDescent="0.2">
      <c r="P16" s="10" t="str">
        <f>IF(Q16="","",P15)</f>
        <v/>
      </c>
      <c r="Q16" s="102" t="str">
        <f>IF(Q15&lt;D$9,Q15+1,"")</f>
        <v/>
      </c>
      <c r="R16" s="10" t="str">
        <f t="shared" si="0"/>
        <v/>
      </c>
      <c r="S16" s="54" t="str">
        <f t="shared" si="7"/>
        <v/>
      </c>
    </row>
    <row r="17" spans="6:20" ht="16.5" customHeight="1" x14ac:dyDescent="0.25">
      <c r="Q17" s="10"/>
    </row>
    <row r="18" spans="6:20" x14ac:dyDescent="0.25">
      <c r="F18" s="14"/>
      <c r="G18" s="1" t="s">
        <v>87</v>
      </c>
      <c r="N18" s="14"/>
      <c r="O18" s="1" t="s">
        <v>87</v>
      </c>
      <c r="Q18" s="10"/>
    </row>
    <row r="19" spans="6:20" x14ac:dyDescent="0.25">
      <c r="I19" s="10" t="s">
        <v>0</v>
      </c>
      <c r="J19" s="10" t="s">
        <v>6</v>
      </c>
      <c r="K19" s="39">
        <f>NPV(K6,K7:K12)-K5</f>
        <v>541910480.93800163</v>
      </c>
      <c r="Q19" s="10" t="s">
        <v>0</v>
      </c>
      <c r="R19" s="10" t="s">
        <v>6</v>
      </c>
      <c r="S19" s="39">
        <f>NPV(S6,S7:S16)-S5</f>
        <v>662864912.56447005</v>
      </c>
    </row>
    <row r="20" spans="6:20" x14ac:dyDescent="0.25">
      <c r="S20" s="377"/>
      <c r="T20" s="377"/>
    </row>
    <row r="21" spans="6:20" x14ac:dyDescent="0.25">
      <c r="F21" s="14"/>
      <c r="G21" s="1" t="s">
        <v>85</v>
      </c>
      <c r="N21" s="14"/>
      <c r="O21" s="1" t="s">
        <v>85</v>
      </c>
      <c r="S21" s="55"/>
      <c r="T21" s="55"/>
    </row>
    <row r="22" spans="6:20" x14ac:dyDescent="0.25">
      <c r="K22" s="21" t="s">
        <v>0</v>
      </c>
      <c r="S22" s="21" t="s">
        <v>0</v>
      </c>
      <c r="T22" s="55"/>
    </row>
    <row r="23" spans="6:20" ht="17.25" x14ac:dyDescent="0.25">
      <c r="J23" s="10" t="s">
        <v>86</v>
      </c>
      <c r="K23" s="94" t="s">
        <v>81</v>
      </c>
      <c r="Q23" s="10" t="s">
        <v>86</v>
      </c>
      <c r="R23" s="10"/>
      <c r="S23" s="21" t="s">
        <v>81</v>
      </c>
      <c r="T23" s="104"/>
    </row>
    <row r="24" spans="6:20" x14ac:dyDescent="0.25">
      <c r="K24" s="22" t="s">
        <v>7</v>
      </c>
      <c r="S24" s="22" t="s">
        <v>7</v>
      </c>
      <c r="T24" s="104"/>
    </row>
    <row r="25" spans="6:20" x14ac:dyDescent="0.25">
      <c r="K25" s="362">
        <f>K19</f>
        <v>541910480.93800163</v>
      </c>
      <c r="L25" s="362"/>
      <c r="S25" s="362">
        <f>S19</f>
        <v>662864912.56447005</v>
      </c>
      <c r="T25" s="362"/>
    </row>
    <row r="26" spans="6:20" ht="17.25" x14ac:dyDescent="0.25">
      <c r="J26" s="10" t="s">
        <v>6</v>
      </c>
      <c r="K26" s="106" t="str">
        <f>"1 - (1 + "&amp;TEXT(D11,"0,00##")&amp;")"</f>
        <v>1 - (1 + 0,12)</v>
      </c>
      <c r="L26" s="100">
        <f>-D5</f>
        <v>-5</v>
      </c>
      <c r="Q26" s="10" t="s">
        <v>6</v>
      </c>
      <c r="R26" s="10"/>
      <c r="S26" s="106" t="str">
        <f>"1 - (1 + "&amp;TEXT(S6,"0,00##")&amp;")"</f>
        <v>1 - (1 + 0,12)</v>
      </c>
      <c r="T26" s="101">
        <f>-D9</f>
        <v>-8</v>
      </c>
    </row>
    <row r="27" spans="6:20" x14ac:dyDescent="0.25">
      <c r="K27" s="414">
        <f>D11</f>
        <v>0.12</v>
      </c>
      <c r="L27" s="414"/>
      <c r="Q27" s="10"/>
      <c r="R27" s="10"/>
      <c r="S27" s="414">
        <f>S6</f>
        <v>0.12</v>
      </c>
      <c r="T27" s="414"/>
    </row>
    <row r="28" spans="6:20" x14ac:dyDescent="0.25">
      <c r="J28" s="10" t="s">
        <v>6</v>
      </c>
      <c r="K28" s="360">
        <f>K25/((1-(1+D11)^-D5)/D11)</f>
        <v>150331241.25305584</v>
      </c>
      <c r="L28" s="360"/>
      <c r="Q28" s="10" t="s">
        <v>6</v>
      </c>
      <c r="R28" s="10"/>
      <c r="S28" s="360">
        <f>S25/((1-(1+S6)^-D9)/D11)</f>
        <v>133436590.34807946</v>
      </c>
      <c r="T28" s="360"/>
    </row>
    <row r="30" spans="6:20" x14ac:dyDescent="0.25">
      <c r="F30" s="109"/>
      <c r="G30" s="1" t="s">
        <v>82</v>
      </c>
    </row>
    <row r="31" spans="6:20" x14ac:dyDescent="0.25">
      <c r="H31" s="1" t="str">
        <f>"karena EAV "&amp;IF(K28&gt;S28,G3&amp;" &gt; "&amp;O3&amp;", yang dipilih "&amp;G3,O3&amp;" &gt; "&amp;G3&amp;", yang dipilih "&amp;O3)</f>
        <v>karena EAV Proyek ABC &gt; Proyek XYZ, yang dipilih Proyek ABC</v>
      </c>
    </row>
    <row r="32" spans="6:20" ht="19.5" customHeight="1" x14ac:dyDescent="0.25"/>
  </sheetData>
  <mergeCells count="10">
    <mergeCell ref="B12:D13"/>
    <mergeCell ref="K14:L14"/>
    <mergeCell ref="S20:T20"/>
    <mergeCell ref="L10:L11"/>
    <mergeCell ref="K28:L28"/>
    <mergeCell ref="S28:T28"/>
    <mergeCell ref="S27:T27"/>
    <mergeCell ref="S25:T25"/>
    <mergeCell ref="K25:L25"/>
    <mergeCell ref="K27:L27"/>
  </mergeCells>
  <pageMargins left="0.7" right="0.7" top="0.75" bottom="0.75" header="0.3" footer="0.3"/>
  <ignoredErrors>
    <ignoredError sqref="K6 S6" formula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Scroll Bar 1">
              <controlPr defaultSize="0" autoPict="0">
                <anchor moveWithCells="1">
                  <from>
                    <xdr:col>2</xdr:col>
                    <xdr:colOff>1047750</xdr:colOff>
                    <xdr:row>5</xdr:row>
                    <xdr:rowOff>19050</xdr:rowOff>
                  </from>
                  <to>
                    <xdr:col>2</xdr:col>
                    <xdr:colOff>1533525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Scroll Bar 2">
              <controlPr defaultSize="0" autoPict="0">
                <anchor moveWithCells="1">
                  <from>
                    <xdr:col>2</xdr:col>
                    <xdr:colOff>1047750</xdr:colOff>
                    <xdr:row>7</xdr:row>
                    <xdr:rowOff>9525</xdr:rowOff>
                  </from>
                  <to>
                    <xdr:col>2</xdr:col>
                    <xdr:colOff>1533525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Scroll Bar 3">
              <controlPr defaultSize="0" autoPict="0">
                <anchor moveWithCells="1">
                  <from>
                    <xdr:col>2</xdr:col>
                    <xdr:colOff>1047750</xdr:colOff>
                    <xdr:row>8</xdr:row>
                    <xdr:rowOff>9525</xdr:rowOff>
                  </from>
                  <to>
                    <xdr:col>2</xdr:col>
                    <xdr:colOff>1533525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Scroll Bar 4">
              <controlPr defaultSize="0" autoPict="0">
                <anchor moveWithCells="1">
                  <from>
                    <xdr:col>2</xdr:col>
                    <xdr:colOff>1047750</xdr:colOff>
                    <xdr:row>9</xdr:row>
                    <xdr:rowOff>9525</xdr:rowOff>
                  </from>
                  <to>
                    <xdr:col>2</xdr:col>
                    <xdr:colOff>1533525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7" name="Scroll Bar 5">
              <controlPr defaultSize="0" autoPict="0">
                <anchor moveWithCells="1">
                  <from>
                    <xdr:col>2</xdr:col>
                    <xdr:colOff>1047750</xdr:colOff>
                    <xdr:row>10</xdr:row>
                    <xdr:rowOff>9525</xdr:rowOff>
                  </from>
                  <to>
                    <xdr:col>2</xdr:col>
                    <xdr:colOff>1533525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8" name="Scroll Bar 6">
              <controlPr defaultSize="0" autoPict="0">
                <anchor moveWithCells="1">
                  <from>
                    <xdr:col>2</xdr:col>
                    <xdr:colOff>1047750</xdr:colOff>
                    <xdr:row>3</xdr:row>
                    <xdr:rowOff>19050</xdr:rowOff>
                  </from>
                  <to>
                    <xdr:col>2</xdr:col>
                    <xdr:colOff>1533525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3" r:id="rId9" name="Scroll Bar 7">
              <controlPr defaultSize="0" autoPict="0">
                <anchor moveWithCells="1">
                  <from>
                    <xdr:col>2</xdr:col>
                    <xdr:colOff>1047750</xdr:colOff>
                    <xdr:row>4</xdr:row>
                    <xdr:rowOff>19050</xdr:rowOff>
                  </from>
                  <to>
                    <xdr:col>2</xdr:col>
                    <xdr:colOff>1533525</xdr:colOff>
                    <xdr:row>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showGridLines="0" tabSelected="1" topLeftCell="A13" zoomScaleNormal="100" workbookViewId="0">
      <selection activeCell="I27" sqref="I27"/>
    </sheetView>
  </sheetViews>
  <sheetFormatPr defaultRowHeight="15" x14ac:dyDescent="0.25"/>
  <cols>
    <col min="1" max="1" width="5.85546875" style="1" customWidth="1"/>
    <col min="2" max="2" width="9.140625" style="1"/>
    <col min="3" max="3" width="27.140625" style="1" customWidth="1"/>
    <col min="4" max="4" width="14.28515625" style="1" customWidth="1"/>
    <col min="5" max="5" width="4.28515625" style="1" customWidth="1"/>
    <col min="6" max="6" width="0.85546875" style="1" customWidth="1"/>
    <col min="7" max="7" width="9.140625" style="1"/>
    <col min="8" max="8" width="2.85546875" style="1" customWidth="1"/>
    <col min="9" max="9" width="13" style="1" customWidth="1"/>
    <col min="10" max="10" width="3.140625" style="43" customWidth="1"/>
    <col min="11" max="11" width="11.7109375" style="1" customWidth="1"/>
    <col min="12" max="12" width="3.140625" style="43" customWidth="1"/>
    <col min="13" max="13" width="8.42578125" style="1" customWidth="1"/>
    <col min="14" max="14" width="3.28515625" style="1" customWidth="1"/>
    <col min="15" max="15" width="3.28515625" style="43" customWidth="1"/>
    <col min="16" max="16" width="6.5703125" style="1" customWidth="1"/>
    <col min="17" max="17" width="4.85546875" style="1" customWidth="1"/>
    <col min="18" max="18" width="3.140625" style="1" customWidth="1"/>
    <col min="19" max="19" width="7.85546875" style="1" customWidth="1"/>
    <col min="20" max="20" width="3.28515625" style="1" customWidth="1"/>
    <col min="21" max="21" width="5.85546875" style="1" customWidth="1"/>
    <col min="22" max="16384" width="9.140625" style="1"/>
  </cols>
  <sheetData>
    <row r="1" spans="1:17" ht="19.5" customHeight="1" x14ac:dyDescent="0.25"/>
    <row r="2" spans="1:17" ht="18.75" x14ac:dyDescent="0.25">
      <c r="B2" s="20" t="s">
        <v>95</v>
      </c>
    </row>
    <row r="3" spans="1:17" x14ac:dyDescent="0.25">
      <c r="B3" s="15" t="s">
        <v>88</v>
      </c>
      <c r="C3" s="117"/>
      <c r="D3" s="118" t="s">
        <v>89</v>
      </c>
      <c r="F3" s="14"/>
      <c r="G3" s="1" t="str">
        <f>"Present cost atau present value "&amp;D3</f>
        <v>Present cost atau present value Mesin X</v>
      </c>
    </row>
    <row r="4" spans="1:17" ht="16.5" customHeight="1" x14ac:dyDescent="0.25">
      <c r="A4" s="36">
        <v>500</v>
      </c>
      <c r="B4" s="30" t="str">
        <f>"Harga Perolehan "&amp;D3</f>
        <v>Harga Perolehan Mesin X</v>
      </c>
      <c r="C4" s="31"/>
      <c r="D4" s="34">
        <f>A4*1000000</f>
        <v>500000000</v>
      </c>
      <c r="H4" s="351" t="s">
        <v>6</v>
      </c>
      <c r="I4" s="417">
        <f>-D4</f>
        <v>-500000000</v>
      </c>
      <c r="J4" s="350" t="s">
        <v>29</v>
      </c>
      <c r="K4" s="110">
        <f>-D5</f>
        <v>-65000000</v>
      </c>
      <c r="L4" s="361" t="s">
        <v>29</v>
      </c>
      <c r="M4" s="362">
        <f>-D5</f>
        <v>-65000000</v>
      </c>
      <c r="N4" s="362"/>
      <c r="O4" s="361" t="str">
        <f>IF(P4="","","+")</f>
        <v>+</v>
      </c>
      <c r="P4" s="350">
        <f>IF(D6=3,-D5,"")</f>
        <v>-65000000</v>
      </c>
      <c r="Q4" s="350"/>
    </row>
    <row r="5" spans="1:17" ht="16.5" customHeight="1" x14ac:dyDescent="0.25">
      <c r="A5" s="36">
        <v>650</v>
      </c>
      <c r="B5" s="30" t="s">
        <v>93</v>
      </c>
      <c r="C5" s="31"/>
      <c r="D5" s="34">
        <f>A5*100000</f>
        <v>65000000</v>
      </c>
      <c r="H5" s="351"/>
      <c r="I5" s="417"/>
      <c r="J5" s="350"/>
      <c r="K5" s="347">
        <f>1+D11</f>
        <v>1.1000000000000001</v>
      </c>
      <c r="L5" s="361"/>
      <c r="M5" s="42" t="str">
        <f>"("&amp;TEXT(1+D11,"#,0#")&amp;")"</f>
        <v>(1,1)</v>
      </c>
      <c r="N5" s="91">
        <v>2</v>
      </c>
      <c r="O5" s="361"/>
      <c r="P5" s="321" t="str">
        <f>IF(P4="","",M5)</f>
        <v>(1,1)</v>
      </c>
      <c r="Q5" s="91">
        <f>IF(P4="","",3)</f>
        <v>3</v>
      </c>
    </row>
    <row r="6" spans="1:17" ht="16.5" customHeight="1" x14ac:dyDescent="0.25">
      <c r="A6" s="36"/>
      <c r="B6" s="30" t="s">
        <v>94</v>
      </c>
      <c r="C6" s="31"/>
      <c r="D6" s="99">
        <v>3</v>
      </c>
      <c r="H6" s="42" t="s">
        <v>6</v>
      </c>
      <c r="I6" s="40">
        <f>IF(D6=2,-D4-D5/(1+D11)-D5/(1+D11)^2,-D4-D5/(1+D11)-D5/(1+D11)^2-D5/(1+D11)^3)</f>
        <v>-661645379.41397452</v>
      </c>
    </row>
    <row r="7" spans="1:17" x14ac:dyDescent="0.25">
      <c r="A7" s="36"/>
      <c r="B7" s="30" t="s">
        <v>88</v>
      </c>
      <c r="C7" s="31"/>
      <c r="D7" s="85" t="s">
        <v>92</v>
      </c>
    </row>
    <row r="8" spans="1:17" ht="16.5" customHeight="1" x14ac:dyDescent="0.25">
      <c r="A8" s="36">
        <v>600</v>
      </c>
      <c r="B8" s="30" t="str">
        <f>"Harga Perolehan "&amp;D7</f>
        <v>Harga Perolehan Mesin Y</v>
      </c>
      <c r="C8" s="31"/>
      <c r="D8" s="34">
        <f>A8*1000000</f>
        <v>600000000</v>
      </c>
      <c r="F8" s="14"/>
      <c r="G8" s="1" t="str">
        <f>"EAC "&amp;D3</f>
        <v>EAC Mesin X</v>
      </c>
      <c r="J8" s="1"/>
      <c r="L8" s="1"/>
      <c r="O8" s="1"/>
    </row>
    <row r="9" spans="1:17" ht="16.5" customHeight="1" x14ac:dyDescent="0.25">
      <c r="A9" s="36">
        <v>750</v>
      </c>
      <c r="B9" s="30" t="s">
        <v>93</v>
      </c>
      <c r="C9" s="31"/>
      <c r="D9" s="34">
        <f>A9*100000</f>
        <v>75000000</v>
      </c>
      <c r="H9" s="351" t="s">
        <v>6</v>
      </c>
      <c r="I9" s="355" t="s">
        <v>90</v>
      </c>
      <c r="J9" s="355"/>
      <c r="L9" s="1"/>
      <c r="O9" s="1"/>
    </row>
    <row r="10" spans="1:17" ht="16.5" customHeight="1" x14ac:dyDescent="0.25">
      <c r="A10" s="36"/>
      <c r="B10" s="30" t="s">
        <v>94</v>
      </c>
      <c r="C10" s="31"/>
      <c r="D10" s="99">
        <v>4</v>
      </c>
      <c r="H10" s="351"/>
      <c r="I10" s="42" t="s">
        <v>91</v>
      </c>
      <c r="J10" s="91">
        <f>-D6</f>
        <v>-3</v>
      </c>
      <c r="L10" s="1"/>
      <c r="O10" s="1"/>
    </row>
    <row r="11" spans="1:17" ht="16.5" customHeight="1" x14ac:dyDescent="0.25">
      <c r="A11" s="36">
        <v>10</v>
      </c>
      <c r="B11" s="309" t="s">
        <v>12</v>
      </c>
      <c r="C11" s="340"/>
      <c r="D11" s="342">
        <f>A11/100</f>
        <v>0.1</v>
      </c>
      <c r="I11" s="111">
        <f>I6</f>
        <v>-661645379.41397452</v>
      </c>
      <c r="J11" s="110"/>
      <c r="K11" s="112"/>
      <c r="L11" s="112"/>
      <c r="M11" s="112"/>
      <c r="O11" s="1"/>
    </row>
    <row r="12" spans="1:17" ht="17.25" x14ac:dyDescent="0.25">
      <c r="B12" s="346"/>
      <c r="C12" s="346"/>
      <c r="D12" s="346"/>
      <c r="H12" s="42" t="s">
        <v>6</v>
      </c>
      <c r="I12" s="319" t="str">
        <f>"1 - (1 + "&amp;TEXT(D11,"0,00##")&amp;")"</f>
        <v>1 - (1 + 0,10)</v>
      </c>
      <c r="J12" s="119">
        <f>-D6</f>
        <v>-3</v>
      </c>
      <c r="K12" s="104"/>
      <c r="L12" s="104"/>
      <c r="M12" s="104"/>
    </row>
    <row r="13" spans="1:17" x14ac:dyDescent="0.25">
      <c r="B13" s="346"/>
      <c r="C13" s="346"/>
      <c r="D13" s="346"/>
      <c r="I13" s="414">
        <f>D11</f>
        <v>0.1</v>
      </c>
      <c r="J13" s="414"/>
      <c r="K13" s="113"/>
      <c r="L13" s="113"/>
      <c r="M13" s="113"/>
    </row>
    <row r="14" spans="1:17" x14ac:dyDescent="0.25">
      <c r="B14" s="7"/>
      <c r="H14" s="42" t="s">
        <v>6</v>
      </c>
      <c r="I14" s="96">
        <f>ROUND(I11/((1-(1+D11)^-D6)/D11),-3)</f>
        <v>-266057000</v>
      </c>
      <c r="J14" s="114"/>
      <c r="K14" s="114"/>
      <c r="L14" s="114"/>
      <c r="M14" s="114"/>
    </row>
    <row r="15" spans="1:17" x14ac:dyDescent="0.25">
      <c r="B15" s="418"/>
      <c r="C15" s="418"/>
      <c r="D15" s="418"/>
      <c r="I15" s="96"/>
      <c r="J15" s="96"/>
      <c r="K15" s="96"/>
      <c r="L15" s="96"/>
      <c r="M15" s="96"/>
    </row>
    <row r="16" spans="1:17" x14ac:dyDescent="0.25">
      <c r="B16" s="418"/>
      <c r="C16" s="418"/>
      <c r="D16" s="418"/>
      <c r="F16" s="14"/>
      <c r="G16" s="1" t="str">
        <f>"Present cost atau present value "&amp;D7</f>
        <v>Present cost atau present value Mesin Y</v>
      </c>
      <c r="I16" s="96"/>
      <c r="J16" s="96"/>
      <c r="K16" s="96"/>
      <c r="L16" s="96"/>
      <c r="M16" s="96"/>
    </row>
    <row r="17" spans="2:20" x14ac:dyDescent="0.25">
      <c r="H17" s="351" t="s">
        <v>6</v>
      </c>
      <c r="I17" s="417">
        <f>-D8</f>
        <v>-600000000</v>
      </c>
      <c r="J17" s="361" t="s">
        <v>29</v>
      </c>
      <c r="K17" s="110">
        <f>-D9</f>
        <v>-75000000</v>
      </c>
      <c r="L17" s="361" t="s">
        <v>29</v>
      </c>
      <c r="M17" s="362">
        <f>-D9</f>
        <v>-75000000</v>
      </c>
      <c r="N17" s="362"/>
      <c r="O17" s="361" t="s">
        <v>29</v>
      </c>
      <c r="P17" s="362">
        <f>-D9</f>
        <v>-75000000</v>
      </c>
      <c r="Q17" s="362"/>
      <c r="R17" s="361" t="str">
        <f>IF(S17="","","+")</f>
        <v>+</v>
      </c>
      <c r="S17" s="419">
        <f>IF(D10=4,P17,"")</f>
        <v>-75000000</v>
      </c>
      <c r="T17" s="419"/>
    </row>
    <row r="18" spans="2:20" ht="17.25" x14ac:dyDescent="0.25">
      <c r="B18" s="54"/>
      <c r="H18" s="351"/>
      <c r="I18" s="417"/>
      <c r="J18" s="361"/>
      <c r="K18" s="115">
        <f>1+D11</f>
        <v>1.1000000000000001</v>
      </c>
      <c r="L18" s="361"/>
      <c r="M18" s="321" t="str">
        <f>"("&amp;TEXT(1+D11,"#,0#")&amp;")"</f>
        <v>(1,1)</v>
      </c>
      <c r="N18" s="91">
        <v>2</v>
      </c>
      <c r="O18" s="361"/>
      <c r="P18" s="42" t="str">
        <f>M18</f>
        <v>(1,1)</v>
      </c>
      <c r="Q18" s="91">
        <v>3</v>
      </c>
      <c r="R18" s="361"/>
      <c r="S18" s="42" t="str">
        <f>IF(S17="","",P18)</f>
        <v>(1,1)</v>
      </c>
      <c r="T18" s="91">
        <f>IF(S17="","",4)</f>
        <v>4</v>
      </c>
    </row>
    <row r="19" spans="2:20" x14ac:dyDescent="0.25">
      <c r="H19" s="42" t="s">
        <v>6</v>
      </c>
      <c r="I19" s="40">
        <f>IF(D10=3,-D8-D9/K18-D9/(1+D11)^2-D9/(1+D11)^3,-D8-D9/K18-D9/(1+D11)^2-D9/(1+D11)^3-D9/(1+D11)^4)</f>
        <v>-837739908.476197</v>
      </c>
    </row>
    <row r="20" spans="2:20" x14ac:dyDescent="0.25">
      <c r="B20" s="7"/>
    </row>
    <row r="21" spans="2:20" x14ac:dyDescent="0.25">
      <c r="B21" s="7"/>
      <c r="F21" s="14"/>
      <c r="G21" s="1" t="str">
        <f>"EAC "&amp;D7</f>
        <v>EAC Mesin Y</v>
      </c>
    </row>
    <row r="22" spans="2:20" x14ac:dyDescent="0.25">
      <c r="H22" s="351" t="s">
        <v>6</v>
      </c>
      <c r="I22" s="355" t="s">
        <v>90</v>
      </c>
      <c r="J22" s="355"/>
    </row>
    <row r="23" spans="2:20" ht="17.25" x14ac:dyDescent="0.25">
      <c r="B23" s="7"/>
      <c r="H23" s="351"/>
      <c r="I23" s="42" t="s">
        <v>91</v>
      </c>
      <c r="J23" s="91">
        <f>-D10</f>
        <v>-4</v>
      </c>
    </row>
    <row r="24" spans="2:20" x14ac:dyDescent="0.25">
      <c r="B24" s="7"/>
      <c r="I24" s="111">
        <f>I19</f>
        <v>-837739908.476197</v>
      </c>
      <c r="J24" s="110"/>
    </row>
    <row r="25" spans="2:20" ht="17.25" x14ac:dyDescent="0.25">
      <c r="H25" s="42" t="s">
        <v>6</v>
      </c>
      <c r="I25" s="106" t="str">
        <f>"1 - (1 + "&amp;TEXT(D11,"0,00##")&amp;")"</f>
        <v>1 - (1 + 0,10)</v>
      </c>
      <c r="J25" s="119">
        <f>J23</f>
        <v>-4</v>
      </c>
    </row>
    <row r="26" spans="2:20" x14ac:dyDescent="0.25">
      <c r="B26" s="7"/>
      <c r="I26" s="414">
        <f>D11</f>
        <v>0.1</v>
      </c>
      <c r="J26" s="414"/>
    </row>
    <row r="27" spans="2:20" x14ac:dyDescent="0.25">
      <c r="B27" s="7"/>
      <c r="H27" s="42" t="s">
        <v>6</v>
      </c>
      <c r="I27" s="96">
        <f>ROUND(I24/((1-(1+D11)^-D10)/D11),-3)</f>
        <v>-264282000</v>
      </c>
      <c r="J27" s="114"/>
    </row>
    <row r="29" spans="2:20" x14ac:dyDescent="0.25">
      <c r="F29" s="109"/>
      <c r="G29" s="1" t="s">
        <v>82</v>
      </c>
    </row>
    <row r="30" spans="2:20" x14ac:dyDescent="0.25">
      <c r="H30" s="416" t="str">
        <f>"Pilihan: sebaiknya membeli "&amp;IF(I14&gt;I27,D3,D7)&amp;" karena "&amp;IF(I6&gt;I27,"EAC "&amp;D3&amp;" &lt; EAC "&amp;D7,"EAC "&amp;D7&amp;" ("&amp;TEXT(I27,"#.###)")&amp;" &lt; EAC "&amp;D3&amp;" ("&amp;TEXT(I14,"#.###)"))</f>
        <v>Pilihan: sebaiknya membeli Mesin Y karena EAC Mesin Y (-264.282.000) &lt; EAC Mesin X (-266.057.000)</v>
      </c>
      <c r="I30" s="416"/>
      <c r="J30" s="416"/>
      <c r="K30" s="416"/>
      <c r="L30" s="416"/>
      <c r="M30" s="416"/>
      <c r="N30" s="416"/>
      <c r="O30" s="416"/>
      <c r="P30" s="416"/>
      <c r="Q30" s="416"/>
      <c r="R30" s="416"/>
      <c r="S30" s="416"/>
      <c r="T30" s="416"/>
    </row>
    <row r="31" spans="2:20" x14ac:dyDescent="0.25">
      <c r="H31" s="416"/>
      <c r="I31" s="416"/>
      <c r="J31" s="416"/>
      <c r="K31" s="416"/>
      <c r="L31" s="416"/>
      <c r="M31" s="416"/>
      <c r="N31" s="416"/>
      <c r="O31" s="416"/>
      <c r="P31" s="416"/>
      <c r="Q31" s="416"/>
      <c r="R31" s="416"/>
      <c r="S31" s="416"/>
      <c r="T31" s="416"/>
    </row>
    <row r="32" spans="2:20" ht="19.5" customHeight="1" x14ac:dyDescent="0.25"/>
    <row r="33" spans="2:2" x14ac:dyDescent="0.25">
      <c r="B33" s="7"/>
    </row>
  </sheetData>
  <mergeCells count="24">
    <mergeCell ref="B15:D16"/>
    <mergeCell ref="R17:R18"/>
    <mergeCell ref="S17:T17"/>
    <mergeCell ref="I9:J9"/>
    <mergeCell ref="M4:N4"/>
    <mergeCell ref="M17:N17"/>
    <mergeCell ref="P17:Q17"/>
    <mergeCell ref="P4:Q4"/>
    <mergeCell ref="J4:J5"/>
    <mergeCell ref="L4:L5"/>
    <mergeCell ref="O4:O5"/>
    <mergeCell ref="J17:J18"/>
    <mergeCell ref="L17:L18"/>
    <mergeCell ref="O17:O18"/>
    <mergeCell ref="H30:T31"/>
    <mergeCell ref="I26:J26"/>
    <mergeCell ref="H17:H18"/>
    <mergeCell ref="H22:H23"/>
    <mergeCell ref="I4:I5"/>
    <mergeCell ref="I17:I18"/>
    <mergeCell ref="I22:J22"/>
    <mergeCell ref="H4:H5"/>
    <mergeCell ref="H9:H10"/>
    <mergeCell ref="I13:J13"/>
  </mergeCells>
  <conditionalFormatting sqref="S18:T18 P5:Q5">
    <cfRule type="notContainsBlanks" dxfId="3" priority="2">
      <formula>LEN(TRIM(P5))&gt;0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Scroll Bar 1">
              <controlPr defaultSize="0" autoPict="0">
                <anchor moveWithCells="1">
                  <from>
                    <xdr:col>2</xdr:col>
                    <xdr:colOff>1257300</xdr:colOff>
                    <xdr:row>3</xdr:row>
                    <xdr:rowOff>19050</xdr:rowOff>
                  </from>
                  <to>
                    <xdr:col>2</xdr:col>
                    <xdr:colOff>1743075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Scroll Bar 2">
              <controlPr defaultSize="0" autoPict="0">
                <anchor moveWithCells="1">
                  <from>
                    <xdr:col>2</xdr:col>
                    <xdr:colOff>1257300</xdr:colOff>
                    <xdr:row>4</xdr:row>
                    <xdr:rowOff>19050</xdr:rowOff>
                  </from>
                  <to>
                    <xdr:col>2</xdr:col>
                    <xdr:colOff>1743075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Scroll Bar 3">
              <controlPr defaultSize="0" autoPict="0">
                <anchor moveWithCells="1">
                  <from>
                    <xdr:col>2</xdr:col>
                    <xdr:colOff>1257300</xdr:colOff>
                    <xdr:row>5</xdr:row>
                    <xdr:rowOff>19050</xdr:rowOff>
                  </from>
                  <to>
                    <xdr:col>2</xdr:col>
                    <xdr:colOff>1743075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Scroll Bar 4">
              <controlPr defaultSize="0" autoPict="0">
                <anchor moveWithCells="1">
                  <from>
                    <xdr:col>2</xdr:col>
                    <xdr:colOff>1257300</xdr:colOff>
                    <xdr:row>7</xdr:row>
                    <xdr:rowOff>19050</xdr:rowOff>
                  </from>
                  <to>
                    <xdr:col>2</xdr:col>
                    <xdr:colOff>1743075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7" name="Scroll Bar 5">
              <controlPr defaultSize="0" autoPict="0">
                <anchor moveWithCells="1">
                  <from>
                    <xdr:col>2</xdr:col>
                    <xdr:colOff>1257300</xdr:colOff>
                    <xdr:row>8</xdr:row>
                    <xdr:rowOff>19050</xdr:rowOff>
                  </from>
                  <to>
                    <xdr:col>2</xdr:col>
                    <xdr:colOff>1743075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8" name="Scroll Bar 6">
              <controlPr defaultSize="0" autoPict="0">
                <anchor moveWithCells="1">
                  <from>
                    <xdr:col>2</xdr:col>
                    <xdr:colOff>1257300</xdr:colOff>
                    <xdr:row>9</xdr:row>
                    <xdr:rowOff>19050</xdr:rowOff>
                  </from>
                  <to>
                    <xdr:col>2</xdr:col>
                    <xdr:colOff>1743075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9" name="Scroll Bar 7">
              <controlPr defaultSize="0" autoPict="0">
                <anchor moveWithCells="1">
                  <from>
                    <xdr:col>2</xdr:col>
                    <xdr:colOff>1257300</xdr:colOff>
                    <xdr:row>10</xdr:row>
                    <xdr:rowOff>19050</xdr:rowOff>
                  </from>
                  <to>
                    <xdr:col>2</xdr:col>
                    <xdr:colOff>1743075</xdr:colOff>
                    <xdr:row>10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12"/>
  <sheetViews>
    <sheetView showGridLines="0" workbookViewId="0">
      <selection activeCell="B6" sqref="B6:D7"/>
    </sheetView>
  </sheetViews>
  <sheetFormatPr defaultRowHeight="17.25" customHeight="1" x14ac:dyDescent="0.25"/>
  <cols>
    <col min="1" max="1" width="5.7109375" style="202" customWidth="1"/>
    <col min="2" max="2" width="10.5703125" style="202" customWidth="1"/>
    <col min="3" max="3" width="19.7109375" style="202" customWidth="1"/>
    <col min="4" max="4" width="13.42578125" style="202" customWidth="1"/>
    <col min="5" max="5" width="4.28515625" style="202" customWidth="1"/>
    <col min="6" max="6" width="0.85546875" style="202" customWidth="1"/>
    <col min="7" max="7" width="5.28515625" style="202" customWidth="1"/>
    <col min="8" max="8" width="50.5703125" style="202" customWidth="1"/>
    <col min="9" max="9" width="5.85546875" style="202" customWidth="1"/>
    <col min="10" max="16384" width="9.140625" style="202"/>
  </cols>
  <sheetData>
    <row r="1" spans="2:9" ht="19.5" customHeight="1" x14ac:dyDescent="0.25"/>
    <row r="2" spans="2:9" ht="17.25" customHeight="1" x14ac:dyDescent="0.25">
      <c r="B2" s="210" t="s">
        <v>189</v>
      </c>
    </row>
    <row r="3" spans="2:9" ht="17.25" customHeight="1" x14ac:dyDescent="0.25">
      <c r="B3" s="208" t="s">
        <v>71</v>
      </c>
      <c r="C3" s="207"/>
      <c r="D3" s="246">
        <f>E3*1000000</f>
        <v>50000000</v>
      </c>
      <c r="E3" s="206">
        <v>50</v>
      </c>
      <c r="F3" s="209"/>
      <c r="G3" s="244" t="s">
        <v>188</v>
      </c>
    </row>
    <row r="4" spans="2:9" ht="17.25" customHeight="1" x14ac:dyDescent="0.25">
      <c r="B4" s="208" t="s">
        <v>187</v>
      </c>
      <c r="C4" s="207"/>
      <c r="D4" s="246">
        <f>E4*100000</f>
        <v>17500000</v>
      </c>
      <c r="E4" s="206">
        <v>175</v>
      </c>
      <c r="G4" s="203" t="s">
        <v>185</v>
      </c>
      <c r="H4" s="202" t="s">
        <v>186</v>
      </c>
    </row>
    <row r="5" spans="2:9" ht="17.25" customHeight="1" x14ac:dyDescent="0.25">
      <c r="B5" s="324" t="s">
        <v>214</v>
      </c>
      <c r="C5" s="325"/>
      <c r="D5" s="326">
        <v>3</v>
      </c>
      <c r="G5" s="203" t="s">
        <v>185</v>
      </c>
      <c r="H5" s="202" t="str">
        <f>"("&amp;TEXT(D3,"#.#00")&amp;" / "&amp;TEXT(D4,"#.#00")&amp;") x 1 tahun"</f>
        <v>(50.000.000 / 17.500.000) x 1 tahun</v>
      </c>
    </row>
    <row r="6" spans="2:9" ht="17.25" customHeight="1" x14ac:dyDescent="0.25">
      <c r="B6" s="420" t="str">
        <f>"Persyaratan ("&amp;D5&amp;" tahun) "&amp;IF(D4/D3&lt;=D5,"&lt; periode payback ("&amp;LEFT(D3/D4,1)&amp;" tahun "&amp;TEXT(MOD(D3/D4,1)*12,"#")&amp;" bulan)"&amp;", usulan investasi diterima","&gt; periode payback, usulan investasi ditolak")</f>
        <v>Persyaratan (3 tahun) &lt; periode payback (2 tahun 10 bulan), usulan investasi diterima</v>
      </c>
      <c r="C6" s="420"/>
      <c r="D6" s="420"/>
      <c r="G6" s="203" t="s">
        <v>185</v>
      </c>
      <c r="H6" s="205">
        <f>IF(D4&gt;D3,"Data masukan salah, silakan ulangi lagi",D3/D4)</f>
        <v>2.8571428571428572</v>
      </c>
      <c r="I6" s="204"/>
    </row>
    <row r="7" spans="2:9" ht="17.25" customHeight="1" x14ac:dyDescent="0.25">
      <c r="B7" s="420"/>
      <c r="C7" s="420"/>
      <c r="D7" s="420"/>
      <c r="G7" s="203" t="str">
        <f>IF(D4&gt;D3," ","= " )</f>
        <v xml:space="preserve">= </v>
      </c>
      <c r="H7" s="306" t="str">
        <f>LEFT(H6,1)&amp;" tahun "&amp;TEXT(MOD(H6,1)*12,"#")&amp;" bulan"</f>
        <v>2 tahun 10 bulan</v>
      </c>
    </row>
    <row r="9" spans="2:9" ht="17.25" customHeight="1" x14ac:dyDescent="0.25">
      <c r="F9" s="243"/>
      <c r="G9" s="202" t="s">
        <v>59</v>
      </c>
    </row>
    <row r="10" spans="2:9" ht="17.25" customHeight="1" x14ac:dyDescent="0.25">
      <c r="H10" s="245" t="str">
        <f>"Persyaratan "&amp;IF(D5=H6,"= ",IF(D5&gt;=H6,"&lt; ","&gt; "))&amp;" periode payback, usulan investasi "&amp;IF(H6&lt;=D5,"diterima","ditolak")</f>
        <v>Persyaratan &lt;  periode payback, usulan investasi diterima</v>
      </c>
    </row>
    <row r="11" spans="2:9" ht="19.5" customHeight="1" x14ac:dyDescent="0.25"/>
    <row r="12" spans="2:9" ht="19.5" customHeight="1" x14ac:dyDescent="0.25"/>
  </sheetData>
  <mergeCells count="1">
    <mergeCell ref="B6:D7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5537" r:id="rId3" name="Scroll Bar 1">
              <controlPr defaultSize="0" autoPict="0">
                <anchor moveWithCells="1">
                  <from>
                    <xdr:col>2</xdr:col>
                    <xdr:colOff>723900</xdr:colOff>
                    <xdr:row>2</xdr:row>
                    <xdr:rowOff>38100</xdr:rowOff>
                  </from>
                  <to>
                    <xdr:col>2</xdr:col>
                    <xdr:colOff>1209675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8" r:id="rId4" name="Scroll Bar 2">
              <controlPr defaultSize="0" autoPict="0">
                <anchor moveWithCells="1">
                  <from>
                    <xdr:col>2</xdr:col>
                    <xdr:colOff>723900</xdr:colOff>
                    <xdr:row>3</xdr:row>
                    <xdr:rowOff>19050</xdr:rowOff>
                  </from>
                  <to>
                    <xdr:col>2</xdr:col>
                    <xdr:colOff>1209675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9" r:id="rId5" name="Scroll Bar 3">
              <controlPr defaultSize="0" autoPict="0">
                <anchor moveWithCells="1">
                  <from>
                    <xdr:col>2</xdr:col>
                    <xdr:colOff>723900</xdr:colOff>
                    <xdr:row>4</xdr:row>
                    <xdr:rowOff>19050</xdr:rowOff>
                  </from>
                  <to>
                    <xdr:col>2</xdr:col>
                    <xdr:colOff>1209675</xdr:colOff>
                    <xdr:row>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7"/>
  <sheetViews>
    <sheetView showGridLines="0" workbookViewId="0">
      <selection activeCell="G6" sqref="G6:L6"/>
    </sheetView>
  </sheetViews>
  <sheetFormatPr defaultRowHeight="15" x14ac:dyDescent="0.25"/>
  <cols>
    <col min="1" max="1" width="5.85546875" style="211" customWidth="1"/>
    <col min="2" max="2" width="12.140625" style="211" customWidth="1"/>
    <col min="3" max="3" width="14.140625" style="211" customWidth="1"/>
    <col min="4" max="4" width="15.42578125" style="211" customWidth="1"/>
    <col min="5" max="5" width="4.28515625" style="211" customWidth="1"/>
    <col min="6" max="6" width="0.85546875" style="211" customWidth="1"/>
    <col min="7" max="7" width="4.85546875" style="211" customWidth="1"/>
    <col min="8" max="8" width="7.7109375" style="211" customWidth="1"/>
    <col min="9" max="9" width="2.5703125" style="211" customWidth="1"/>
    <col min="10" max="10" width="12.42578125" style="211" customWidth="1"/>
    <col min="11" max="11" width="2.85546875" style="211" customWidth="1"/>
    <col min="12" max="12" width="13.140625" style="211" customWidth="1"/>
    <col min="13" max="13" width="7.140625" style="211" customWidth="1"/>
    <col min="14" max="14" width="5.85546875" style="211" customWidth="1"/>
    <col min="15" max="16384" width="9.140625" style="211"/>
  </cols>
  <sheetData>
    <row r="1" spans="1:13" ht="19.5" customHeight="1" x14ac:dyDescent="0.25"/>
    <row r="2" spans="1:13" ht="18.75" x14ac:dyDescent="0.25">
      <c r="B2" s="234" t="s">
        <v>189</v>
      </c>
    </row>
    <row r="3" spans="1:13" x14ac:dyDescent="0.25">
      <c r="B3" s="424" t="s">
        <v>194</v>
      </c>
      <c r="C3" s="425"/>
      <c r="D3" s="233" t="s">
        <v>193</v>
      </c>
      <c r="F3" s="232"/>
      <c r="G3" s="211" t="s">
        <v>192</v>
      </c>
    </row>
    <row r="4" spans="1:13" ht="17.25" customHeight="1" x14ac:dyDescent="0.25">
      <c r="A4" s="220">
        <v>1250</v>
      </c>
      <c r="B4" s="219"/>
      <c r="C4" s="218">
        <v>0</v>
      </c>
      <c r="D4" s="217">
        <f>-A4*1000000</f>
        <v>-1250000000</v>
      </c>
      <c r="G4" s="247" t="s">
        <v>191</v>
      </c>
      <c r="H4" s="231"/>
      <c r="I4" s="231"/>
      <c r="J4" s="231"/>
      <c r="K4" s="230">
        <v>4</v>
      </c>
      <c r="L4" s="229">
        <f>VLOOKUP(K4,PAYBACK,3)</f>
        <v>1050000000</v>
      </c>
      <c r="M4" s="225"/>
    </row>
    <row r="5" spans="1:13" ht="17.25" customHeight="1" x14ac:dyDescent="0.25">
      <c r="A5" s="220">
        <v>225</v>
      </c>
      <c r="B5" s="219"/>
      <c r="C5" s="218">
        <v>1</v>
      </c>
      <c r="D5" s="217">
        <f t="shared" ref="D5:D14" si="0">A5*1000000</f>
        <v>225000000</v>
      </c>
      <c r="E5" s="216">
        <f>SUM(D$5:D5)</f>
        <v>225000000</v>
      </c>
      <c r="G5" s="248" t="s">
        <v>191</v>
      </c>
      <c r="H5" s="228"/>
      <c r="I5" s="228"/>
      <c r="J5" s="228"/>
      <c r="K5" s="227">
        <f>K4+1</f>
        <v>5</v>
      </c>
      <c r="L5" s="226">
        <f>VLOOKUP(K5,PAYBACK,3)</f>
        <v>1400000000</v>
      </c>
      <c r="M5" s="225"/>
    </row>
    <row r="6" spans="1:13" ht="17.25" customHeight="1" x14ac:dyDescent="0.25">
      <c r="A6" s="220">
        <v>250</v>
      </c>
      <c r="B6" s="219"/>
      <c r="C6" s="218">
        <v>2</v>
      </c>
      <c r="D6" s="217">
        <f t="shared" si="0"/>
        <v>250000000</v>
      </c>
      <c r="E6" s="216">
        <f>SUM(D$5:D6)</f>
        <v>475000000</v>
      </c>
      <c r="G6" s="426" t="str">
        <f>IF(AND(L4&lt;-D4,L5&lt;-D4),"tambahkan periode waktu!",IF(AND(L4&lt;-D4,L5&gt;=-D4),"pilihan periode waktu yang tepat","ulangi lagi, kurangi periode waktu!"))</f>
        <v>pilihan periode waktu yang tepat</v>
      </c>
      <c r="H6" s="426"/>
      <c r="I6" s="426"/>
      <c r="J6" s="426"/>
      <c r="K6" s="426"/>
      <c r="L6" s="426"/>
      <c r="M6" s="225"/>
    </row>
    <row r="7" spans="1:13" ht="17.25" customHeight="1" x14ac:dyDescent="0.25">
      <c r="A7" s="220">
        <v>275</v>
      </c>
      <c r="B7" s="219"/>
      <c r="C7" s="218">
        <v>3</v>
      </c>
      <c r="D7" s="217">
        <f t="shared" si="0"/>
        <v>275000000</v>
      </c>
      <c r="E7" s="216">
        <f>SUM(D$5:D7)</f>
        <v>750000000</v>
      </c>
    </row>
    <row r="8" spans="1:13" ht="17.25" customHeight="1" x14ac:dyDescent="0.25">
      <c r="A8" s="220">
        <v>300</v>
      </c>
      <c r="B8" s="219"/>
      <c r="C8" s="218">
        <v>4</v>
      </c>
      <c r="D8" s="217">
        <f t="shared" si="0"/>
        <v>300000000</v>
      </c>
      <c r="E8" s="216">
        <f>SUM(D$5:D8)</f>
        <v>1050000000</v>
      </c>
      <c r="F8" s="224" t="str">
        <f>IF(AND(L4&lt;-D4,L5&gt;=-D4),"x","")</f>
        <v>x</v>
      </c>
      <c r="G8" s="211" t="str">
        <f>IF(F8="","","Periode payback antara "&amp;K4&amp;" - "&amp;K5&amp;" tahun")</f>
        <v>Periode payback antara 4 - 5 tahun</v>
      </c>
    </row>
    <row r="9" spans="1:13" ht="17.25" customHeight="1" x14ac:dyDescent="0.25">
      <c r="A9" s="220">
        <v>350</v>
      </c>
      <c r="B9" s="219"/>
      <c r="C9" s="218">
        <v>5</v>
      </c>
      <c r="D9" s="217">
        <f t="shared" si="0"/>
        <v>350000000</v>
      </c>
      <c r="E9" s="216">
        <f>SUM(D$5:D9)</f>
        <v>1400000000</v>
      </c>
      <c r="G9" s="427" t="str">
        <f>IF(G8="","","=")</f>
        <v>=</v>
      </c>
      <c r="H9" s="422">
        <f>IF(G8="","",K4)</f>
        <v>4</v>
      </c>
      <c r="I9" s="423" t="str">
        <f>IF(G9="","","+")</f>
        <v>+</v>
      </c>
      <c r="J9" s="223" t="str">
        <f>IF(G9="","",TEXT(-D4,"#.000"))</f>
        <v>1.250.000.000</v>
      </c>
      <c r="K9" s="223" t="str">
        <f>IF(G9="",""," - ")</f>
        <v xml:space="preserve"> - </v>
      </c>
      <c r="L9" s="223" t="str">
        <f>IF(G9="","",TEXT(L4,"#.000"))</f>
        <v>1.050.000.000</v>
      </c>
      <c r="M9" s="421" t="str">
        <f>IF(G9="",""," tahun")</f>
        <v xml:space="preserve"> tahun</v>
      </c>
    </row>
    <row r="10" spans="1:13" ht="17.25" customHeight="1" x14ac:dyDescent="0.25">
      <c r="A10" s="220">
        <v>350</v>
      </c>
      <c r="B10" s="219"/>
      <c r="C10" s="218">
        <v>6</v>
      </c>
      <c r="D10" s="217">
        <f t="shared" si="0"/>
        <v>350000000</v>
      </c>
      <c r="E10" s="216">
        <f>SUM(D$5:D10)</f>
        <v>1750000000</v>
      </c>
      <c r="G10" s="427"/>
      <c r="H10" s="422"/>
      <c r="I10" s="423"/>
      <c r="J10" s="223" t="str">
        <f>IF(G9="","",TEXT(L5,"#.000"))</f>
        <v>1.400.000.000</v>
      </c>
      <c r="K10" s="211" t="str">
        <f>K9</f>
        <v xml:space="preserve"> - </v>
      </c>
      <c r="L10" s="223" t="str">
        <f>IF(G9="","",TEXT(L4,"#.000"))</f>
        <v>1.050.000.000</v>
      </c>
      <c r="M10" s="421"/>
    </row>
    <row r="11" spans="1:13" ht="17.25" customHeight="1" x14ac:dyDescent="0.25">
      <c r="A11" s="220">
        <v>300</v>
      </c>
      <c r="B11" s="219"/>
      <c r="C11" s="218">
        <v>7</v>
      </c>
      <c r="D11" s="217">
        <f t="shared" si="0"/>
        <v>300000000</v>
      </c>
      <c r="E11" s="216">
        <f>SUM(D$5:D11)</f>
        <v>2050000000</v>
      </c>
      <c r="G11" s="427" t="str">
        <f>G9</f>
        <v>=</v>
      </c>
      <c r="H11" s="422">
        <f>H9</f>
        <v>4</v>
      </c>
      <c r="I11" s="423" t="str">
        <f>I9</f>
        <v>+</v>
      </c>
      <c r="J11" s="222" t="str">
        <f>IF(G11="","",TEXT(-D4-L4,"#.000"))</f>
        <v>200.000.000</v>
      </c>
    </row>
    <row r="12" spans="1:13" ht="17.25" customHeight="1" x14ac:dyDescent="0.25">
      <c r="A12" s="220">
        <v>250</v>
      </c>
      <c r="B12" s="219"/>
      <c r="C12" s="218">
        <v>8</v>
      </c>
      <c r="D12" s="217">
        <f t="shared" si="0"/>
        <v>250000000</v>
      </c>
      <c r="E12" s="216">
        <f>SUM(D$5:D12)</f>
        <v>2300000000</v>
      </c>
      <c r="G12" s="427"/>
      <c r="H12" s="422"/>
      <c r="I12" s="423"/>
      <c r="J12" s="222" t="str">
        <f>IF(J11="","",TEXT(L5-L4,"#.000"))</f>
        <v>350.000.000</v>
      </c>
    </row>
    <row r="13" spans="1:13" ht="17.25" customHeight="1" x14ac:dyDescent="0.25">
      <c r="A13" s="220">
        <v>250</v>
      </c>
      <c r="B13" s="219"/>
      <c r="C13" s="218">
        <v>9</v>
      </c>
      <c r="D13" s="217">
        <f t="shared" si="0"/>
        <v>250000000</v>
      </c>
      <c r="E13" s="216">
        <f>SUM(D$5:D13)</f>
        <v>2550000000</v>
      </c>
      <c r="G13" s="221" t="str">
        <f>G11</f>
        <v>=</v>
      </c>
      <c r="H13" s="211" t="str">
        <f>IF(G13="","",K4&amp;" tahun "&amp;TEXT((J11/J12)*12,"#")&amp;" bulan")</f>
        <v>4 tahun 7 bulan</v>
      </c>
    </row>
    <row r="14" spans="1:13" ht="17.25" customHeight="1" x14ac:dyDescent="0.25">
      <c r="A14" s="220">
        <v>200</v>
      </c>
      <c r="B14" s="219"/>
      <c r="C14" s="218">
        <v>10</v>
      </c>
      <c r="D14" s="217">
        <f t="shared" si="0"/>
        <v>200000000</v>
      </c>
      <c r="E14" s="216">
        <f>SUM(D$5:D14)</f>
        <v>2750000000</v>
      </c>
    </row>
    <row r="15" spans="1:13" ht="17.25" customHeight="1" x14ac:dyDescent="0.25">
      <c r="B15" s="215" t="s">
        <v>190</v>
      </c>
      <c r="C15" s="214"/>
      <c r="D15" s="213">
        <v>5</v>
      </c>
      <c r="F15" s="212" t="str">
        <f>F8</f>
        <v>x</v>
      </c>
      <c r="G15" s="211" t="str">
        <f>IF(G9="","","Kesimpulan")</f>
        <v>Kesimpulan</v>
      </c>
    </row>
    <row r="16" spans="1:13" x14ac:dyDescent="0.25">
      <c r="H16" s="249" t="str">
        <f>IF(G15="","",IF(D15&gt;=K4+J11/J12,"Usulan investasi diterima","Usulan investasi ditolak"))</f>
        <v>Usulan investasi diterima</v>
      </c>
    </row>
    <row r="17" ht="19.5" customHeight="1" x14ac:dyDescent="0.25"/>
  </sheetData>
  <mergeCells count="9">
    <mergeCell ref="M9:M10"/>
    <mergeCell ref="H11:H12"/>
    <mergeCell ref="I11:I12"/>
    <mergeCell ref="B3:C3"/>
    <mergeCell ref="G6:L6"/>
    <mergeCell ref="H9:H10"/>
    <mergeCell ref="G9:G10"/>
    <mergeCell ref="I9:I10"/>
    <mergeCell ref="G11:G12"/>
  </mergeCells>
  <conditionalFormatting sqref="F15 F8">
    <cfRule type="notContainsBlanks" dxfId="2" priority="2">
      <formula>LEN(TRIM(F8))&gt;0</formula>
    </cfRule>
  </conditionalFormatting>
  <conditionalFormatting sqref="J9:L9 J11">
    <cfRule type="notContainsBlanks" dxfId="1" priority="1">
      <formula>LEN(TRIM(J9))&gt;0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465" r:id="rId3" name="Scroll Bar 1">
              <controlPr defaultSize="0" autoPict="0">
                <anchor moveWithCells="1">
                  <from>
                    <xdr:col>2</xdr:col>
                    <xdr:colOff>352425</xdr:colOff>
                    <xdr:row>14</xdr:row>
                    <xdr:rowOff>28575</xdr:rowOff>
                  </from>
                  <to>
                    <xdr:col>2</xdr:col>
                    <xdr:colOff>838200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6" r:id="rId4" name="Scroll Bar 2">
              <controlPr defaultSize="0" autoPict="0">
                <anchor moveWithCells="1">
                  <from>
                    <xdr:col>9</xdr:col>
                    <xdr:colOff>238125</xdr:colOff>
                    <xdr:row>3</xdr:row>
                    <xdr:rowOff>38100</xdr:rowOff>
                  </from>
                  <to>
                    <xdr:col>9</xdr:col>
                    <xdr:colOff>723900</xdr:colOff>
                    <xdr:row>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7" r:id="rId5" name="Scroll Bar 3">
              <controlPr defaultSize="0" autoPict="0">
                <anchor moveWithCells="1">
                  <from>
                    <xdr:col>2</xdr:col>
                    <xdr:colOff>352425</xdr:colOff>
                    <xdr:row>3</xdr:row>
                    <xdr:rowOff>28575</xdr:rowOff>
                  </from>
                  <to>
                    <xdr:col>2</xdr:col>
                    <xdr:colOff>838200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8" r:id="rId6" name="Scroll Bar 4">
              <controlPr defaultSize="0" autoPict="0">
                <anchor moveWithCells="1">
                  <from>
                    <xdr:col>2</xdr:col>
                    <xdr:colOff>352425</xdr:colOff>
                    <xdr:row>4</xdr:row>
                    <xdr:rowOff>28575</xdr:rowOff>
                  </from>
                  <to>
                    <xdr:col>2</xdr:col>
                    <xdr:colOff>838200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9" r:id="rId7" name="Scroll Bar 5">
              <controlPr defaultSize="0" autoPict="0">
                <anchor moveWithCells="1">
                  <from>
                    <xdr:col>2</xdr:col>
                    <xdr:colOff>352425</xdr:colOff>
                    <xdr:row>5</xdr:row>
                    <xdr:rowOff>28575</xdr:rowOff>
                  </from>
                  <to>
                    <xdr:col>2</xdr:col>
                    <xdr:colOff>838200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0" r:id="rId8" name="Scroll Bar 6">
              <controlPr defaultSize="0" autoPict="0">
                <anchor moveWithCells="1">
                  <from>
                    <xdr:col>2</xdr:col>
                    <xdr:colOff>352425</xdr:colOff>
                    <xdr:row>6</xdr:row>
                    <xdr:rowOff>28575</xdr:rowOff>
                  </from>
                  <to>
                    <xdr:col>2</xdr:col>
                    <xdr:colOff>838200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1" r:id="rId9" name="Scroll Bar 7">
              <controlPr defaultSize="0" autoPict="0">
                <anchor moveWithCells="1">
                  <from>
                    <xdr:col>2</xdr:col>
                    <xdr:colOff>352425</xdr:colOff>
                    <xdr:row>7</xdr:row>
                    <xdr:rowOff>28575</xdr:rowOff>
                  </from>
                  <to>
                    <xdr:col>2</xdr:col>
                    <xdr:colOff>838200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2" r:id="rId10" name="Scroll Bar 8">
              <controlPr defaultSize="0" autoPict="0">
                <anchor moveWithCells="1">
                  <from>
                    <xdr:col>2</xdr:col>
                    <xdr:colOff>352425</xdr:colOff>
                    <xdr:row>8</xdr:row>
                    <xdr:rowOff>28575</xdr:rowOff>
                  </from>
                  <to>
                    <xdr:col>2</xdr:col>
                    <xdr:colOff>838200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3" r:id="rId11" name="Scroll Bar 9">
              <controlPr defaultSize="0" autoPict="0">
                <anchor moveWithCells="1">
                  <from>
                    <xdr:col>2</xdr:col>
                    <xdr:colOff>352425</xdr:colOff>
                    <xdr:row>9</xdr:row>
                    <xdr:rowOff>28575</xdr:rowOff>
                  </from>
                  <to>
                    <xdr:col>2</xdr:col>
                    <xdr:colOff>838200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4" r:id="rId12" name="Scroll Bar 10">
              <controlPr defaultSize="0" autoPict="0">
                <anchor moveWithCells="1">
                  <from>
                    <xdr:col>2</xdr:col>
                    <xdr:colOff>352425</xdr:colOff>
                    <xdr:row>10</xdr:row>
                    <xdr:rowOff>28575</xdr:rowOff>
                  </from>
                  <to>
                    <xdr:col>2</xdr:col>
                    <xdr:colOff>838200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5" r:id="rId13" name="Scroll Bar 11">
              <controlPr defaultSize="0" autoPict="0">
                <anchor moveWithCells="1">
                  <from>
                    <xdr:col>2</xdr:col>
                    <xdr:colOff>352425</xdr:colOff>
                    <xdr:row>11</xdr:row>
                    <xdr:rowOff>28575</xdr:rowOff>
                  </from>
                  <to>
                    <xdr:col>2</xdr:col>
                    <xdr:colOff>838200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6" r:id="rId14" name="Scroll Bar 12">
              <controlPr defaultSize="0" autoPict="0">
                <anchor moveWithCells="1">
                  <from>
                    <xdr:col>2</xdr:col>
                    <xdr:colOff>352425</xdr:colOff>
                    <xdr:row>12</xdr:row>
                    <xdr:rowOff>28575</xdr:rowOff>
                  </from>
                  <to>
                    <xdr:col>2</xdr:col>
                    <xdr:colOff>838200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7" r:id="rId15" name="Scroll Bar 13">
              <controlPr defaultSize="0" autoPict="0">
                <anchor moveWithCells="1">
                  <from>
                    <xdr:col>2</xdr:col>
                    <xdr:colOff>352425</xdr:colOff>
                    <xdr:row>13</xdr:row>
                    <xdr:rowOff>28575</xdr:rowOff>
                  </from>
                  <to>
                    <xdr:col>2</xdr:col>
                    <xdr:colOff>838200</xdr:colOff>
                    <xdr:row>13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9"/>
  <sheetViews>
    <sheetView showGridLines="0" workbookViewId="0">
      <selection activeCell="B7" sqref="B7:D7"/>
    </sheetView>
  </sheetViews>
  <sheetFormatPr defaultRowHeight="15" x14ac:dyDescent="0.25"/>
  <cols>
    <col min="1" max="1" width="5.85546875" style="211" customWidth="1"/>
    <col min="2" max="2" width="9.140625" style="211"/>
    <col min="3" max="3" width="22" style="211" customWidth="1"/>
    <col min="4" max="4" width="14" style="211" customWidth="1"/>
    <col min="5" max="5" width="4.28515625" style="211" customWidth="1"/>
    <col min="6" max="6" width="0.85546875" style="211" customWidth="1"/>
    <col min="7" max="7" width="9.140625" style="211"/>
    <col min="8" max="8" width="1.28515625" style="211" customWidth="1"/>
    <col min="9" max="9" width="0.7109375" style="211" customWidth="1"/>
    <col min="10" max="10" width="0.5703125" style="211" customWidth="1"/>
    <col min="11" max="11" width="1.7109375" style="211" customWidth="1"/>
    <col min="12" max="12" width="3.85546875" style="211" customWidth="1"/>
    <col min="13" max="13" width="2.28515625" style="211" customWidth="1"/>
    <col min="14" max="14" width="1" style="211" customWidth="1"/>
    <col min="15" max="15" width="4.140625" style="211" customWidth="1"/>
    <col min="16" max="16" width="1.140625" style="211" customWidth="1"/>
    <col min="17" max="17" width="11.140625" style="211" customWidth="1"/>
    <col min="18" max="18" width="0.85546875" style="211" customWidth="1"/>
    <col min="19" max="19" width="5.85546875" style="211" customWidth="1"/>
    <col min="20" max="16384" width="9.140625" style="211"/>
  </cols>
  <sheetData>
    <row r="1" spans="1:17" ht="19.5" customHeight="1" x14ac:dyDescent="0.25"/>
    <row r="2" spans="1:17" ht="18.75" x14ac:dyDescent="0.25">
      <c r="B2" s="234" t="s">
        <v>205</v>
      </c>
    </row>
    <row r="3" spans="1:17" ht="17.25" customHeight="1" x14ac:dyDescent="0.25">
      <c r="A3" s="220">
        <v>300</v>
      </c>
      <c r="B3" s="215" t="s">
        <v>71</v>
      </c>
      <c r="C3" s="214"/>
      <c r="D3" s="294">
        <f>A3*1000000</f>
        <v>300000000</v>
      </c>
      <c r="F3" s="232"/>
      <c r="G3" s="211" t="s">
        <v>3</v>
      </c>
    </row>
    <row r="4" spans="1:17" ht="17.25" customHeight="1" x14ac:dyDescent="0.25">
      <c r="A4" s="220">
        <v>7500</v>
      </c>
      <c r="B4" s="215" t="s">
        <v>204</v>
      </c>
      <c r="C4" s="214"/>
      <c r="D4" s="294">
        <f>A4*10000</f>
        <v>75000000</v>
      </c>
      <c r="G4" s="221" t="s">
        <v>203</v>
      </c>
      <c r="H4" s="428">
        <f>-D3</f>
        <v>-300000000</v>
      </c>
      <c r="I4" s="428"/>
      <c r="J4" s="428"/>
      <c r="K4" s="428"/>
      <c r="L4" s="428"/>
      <c r="M4" s="428"/>
      <c r="N4" s="428"/>
      <c r="O4" s="428"/>
      <c r="P4" s="428"/>
    </row>
    <row r="5" spans="1:17" ht="17.25" customHeight="1" x14ac:dyDescent="0.25">
      <c r="A5" s="220"/>
      <c r="B5" s="215" t="s">
        <v>202</v>
      </c>
      <c r="C5" s="214"/>
      <c r="D5" s="327">
        <v>10</v>
      </c>
      <c r="G5" s="221" t="s">
        <v>201</v>
      </c>
      <c r="H5" s="211" t="s">
        <v>84</v>
      </c>
      <c r="K5" s="255">
        <v>1</v>
      </c>
      <c r="L5" s="223" t="s">
        <v>215</v>
      </c>
      <c r="M5" s="257">
        <f>D5</f>
        <v>10</v>
      </c>
      <c r="O5" s="222" t="s">
        <v>6</v>
      </c>
      <c r="Q5" s="238">
        <f>D4</f>
        <v>75000000</v>
      </c>
    </row>
    <row r="6" spans="1:17" ht="17.25" customHeight="1" x14ac:dyDescent="0.25">
      <c r="A6" s="220">
        <v>12</v>
      </c>
      <c r="B6" s="305" t="s">
        <v>101</v>
      </c>
      <c r="C6" s="328"/>
      <c r="D6" s="329">
        <f>A6/100</f>
        <v>0.12</v>
      </c>
      <c r="G6" s="221" t="s">
        <v>4</v>
      </c>
      <c r="H6" s="431">
        <f>D6</f>
        <v>0.12</v>
      </c>
      <c r="I6" s="431"/>
      <c r="J6" s="431"/>
      <c r="K6" s="431"/>
      <c r="L6" s="250"/>
    </row>
    <row r="7" spans="1:17" x14ac:dyDescent="0.25">
      <c r="B7" s="434" t="str">
        <f>"Discounted Payback = "&amp;LEFT(-LOG(1-(D3*D6)/D4)/LOG(1+D6),1)&amp;" tahun "&amp;TEXT(MOD(-LOG(1-(D3*D6)/D4)/LOG(1+D6),1)*12,"#")&amp;" bulan"</f>
        <v>Discounted Payback = 5 tahun 9 bulan</v>
      </c>
      <c r="C7" s="434"/>
      <c r="D7" s="434"/>
      <c r="H7" s="237"/>
      <c r="I7" s="237"/>
    </row>
    <row r="8" spans="1:17" x14ac:dyDescent="0.25">
      <c r="D8" s="237"/>
      <c r="F8" s="232"/>
      <c r="G8" s="211" t="s">
        <v>200</v>
      </c>
      <c r="H8" s="237"/>
      <c r="I8" s="237"/>
    </row>
    <row r="9" spans="1:17" ht="18" x14ac:dyDescent="0.25">
      <c r="J9" s="429" t="s">
        <v>196</v>
      </c>
      <c r="K9" s="429"/>
      <c r="L9" s="429"/>
      <c r="M9" s="429" t="s">
        <v>104</v>
      </c>
      <c r="N9" s="429"/>
      <c r="O9" s="236" t="s">
        <v>199</v>
      </c>
    </row>
    <row r="10" spans="1:17" ht="18" x14ac:dyDescent="0.25">
      <c r="G10" s="221" t="s">
        <v>75</v>
      </c>
      <c r="H10" s="236"/>
      <c r="J10" s="430"/>
      <c r="K10" s="430"/>
      <c r="L10" s="430"/>
      <c r="M10" s="430"/>
      <c r="N10" s="430"/>
      <c r="O10" s="236" t="s">
        <v>198</v>
      </c>
      <c r="P10" s="236"/>
    </row>
    <row r="11" spans="1:17" x14ac:dyDescent="0.25">
      <c r="J11" s="432" t="s">
        <v>197</v>
      </c>
      <c r="K11" s="432"/>
      <c r="L11" s="432"/>
      <c r="M11" s="432"/>
      <c r="N11" s="432"/>
      <c r="O11" s="432"/>
    </row>
    <row r="12" spans="1:17" x14ac:dyDescent="0.25">
      <c r="J12" s="435" t="s">
        <v>196</v>
      </c>
      <c r="K12" s="253"/>
      <c r="L12" s="253"/>
      <c r="M12" s="429" t="s">
        <v>195</v>
      </c>
      <c r="N12" s="251"/>
      <c r="O12" s="236" t="str">
        <f>TEXT(D3,"#.000")&amp;" x "&amp;TEXT(D6,"0,0###")</f>
        <v>300.000.000 x 0,12</v>
      </c>
      <c r="P12" s="236"/>
      <c r="Q12" s="236"/>
    </row>
    <row r="13" spans="1:17" x14ac:dyDescent="0.25">
      <c r="G13" s="221" t="s">
        <v>6</v>
      </c>
      <c r="H13" s="236"/>
      <c r="J13" s="436"/>
      <c r="K13" s="254"/>
      <c r="L13" s="254"/>
      <c r="M13" s="430"/>
      <c r="N13" s="252"/>
      <c r="O13" s="433">
        <f>D4</f>
        <v>75000000</v>
      </c>
      <c r="P13" s="433"/>
      <c r="Q13" s="433"/>
    </row>
    <row r="14" spans="1:17" x14ac:dyDescent="0.25">
      <c r="J14" s="432" t="str">
        <f>"log (1 + "&amp;TEXT(H6,"0,0###")&amp;")"</f>
        <v>log (1 + 0,12)</v>
      </c>
      <c r="K14" s="432"/>
      <c r="L14" s="432"/>
      <c r="M14" s="432"/>
      <c r="N14" s="432"/>
      <c r="O14" s="432"/>
      <c r="P14" s="432"/>
      <c r="Q14" s="432"/>
    </row>
    <row r="15" spans="1:17" x14ac:dyDescent="0.25">
      <c r="G15" s="427" t="s">
        <v>6</v>
      </c>
      <c r="H15" s="236"/>
      <c r="J15" s="430" t="str">
        <f>"log "&amp;TEXT(1-(D3*D6)/D4,"0,0#")</f>
        <v>log 0,52</v>
      </c>
      <c r="K15" s="430"/>
      <c r="L15" s="430"/>
      <c r="M15" s="430"/>
      <c r="N15" s="251"/>
    </row>
    <row r="16" spans="1:17" x14ac:dyDescent="0.25">
      <c r="G16" s="427"/>
      <c r="J16" s="211" t="str">
        <f>"log "&amp;TEXT(1+D6,"0,0##")</f>
        <v>log 1,12</v>
      </c>
    </row>
    <row r="17" spans="7:14" x14ac:dyDescent="0.25">
      <c r="G17" s="221" t="s">
        <v>6</v>
      </c>
      <c r="H17" s="421">
        <f>-LOG(1-(D3*D6)/D4)/LOG(1+D6)</f>
        <v>5.7701760647377229</v>
      </c>
      <c r="I17" s="421"/>
      <c r="J17" s="421"/>
      <c r="K17" s="421"/>
      <c r="L17" s="421"/>
      <c r="M17" s="421"/>
      <c r="N17" s="256"/>
    </row>
    <row r="18" spans="7:14" x14ac:dyDescent="0.25">
      <c r="G18" s="221" t="s">
        <v>6</v>
      </c>
      <c r="H18" s="306" t="str">
        <f>LEFT(H17,1)&amp;" tahun "&amp;TEXT(MOD(H17,1)*12,"#")&amp;" bulan"</f>
        <v>5 tahun 9 bulan</v>
      </c>
      <c r="I18" s="235"/>
    </row>
    <row r="19" spans="7:14" ht="19.5" customHeight="1" x14ac:dyDescent="0.25"/>
  </sheetData>
  <mergeCells count="13">
    <mergeCell ref="B7:D7"/>
    <mergeCell ref="J14:Q14"/>
    <mergeCell ref="J12:J13"/>
    <mergeCell ref="J15:M15"/>
    <mergeCell ref="G15:G16"/>
    <mergeCell ref="H17:M17"/>
    <mergeCell ref="H4:P4"/>
    <mergeCell ref="M12:M13"/>
    <mergeCell ref="H6:K6"/>
    <mergeCell ref="J9:L10"/>
    <mergeCell ref="M9:N10"/>
    <mergeCell ref="J11:O11"/>
    <mergeCell ref="O13:Q1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3489" r:id="rId3" name="Scroll Bar 1">
              <controlPr defaultSize="0" autoPict="0">
                <anchor moveWithCells="1">
                  <from>
                    <xdr:col>2</xdr:col>
                    <xdr:colOff>904875</xdr:colOff>
                    <xdr:row>4</xdr:row>
                    <xdr:rowOff>28575</xdr:rowOff>
                  </from>
                  <to>
                    <xdr:col>2</xdr:col>
                    <xdr:colOff>1390650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0" r:id="rId4" name="Scroll Bar 2">
              <controlPr defaultSize="0" autoPict="0">
                <anchor moveWithCells="1">
                  <from>
                    <xdr:col>2</xdr:col>
                    <xdr:colOff>904875</xdr:colOff>
                    <xdr:row>5</xdr:row>
                    <xdr:rowOff>19050</xdr:rowOff>
                  </from>
                  <to>
                    <xdr:col>2</xdr:col>
                    <xdr:colOff>1390650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1" r:id="rId5" name="Scroll Bar 3">
              <controlPr defaultSize="0" autoPict="0">
                <anchor moveWithCells="1">
                  <from>
                    <xdr:col>2</xdr:col>
                    <xdr:colOff>904875</xdr:colOff>
                    <xdr:row>3</xdr:row>
                    <xdr:rowOff>28575</xdr:rowOff>
                  </from>
                  <to>
                    <xdr:col>2</xdr:col>
                    <xdr:colOff>1390650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2" r:id="rId6" name="Scroll Bar 4">
              <controlPr defaultSize="0" autoPict="0">
                <anchor moveWithCells="1">
                  <from>
                    <xdr:col>2</xdr:col>
                    <xdr:colOff>904875</xdr:colOff>
                    <xdr:row>2</xdr:row>
                    <xdr:rowOff>38100</xdr:rowOff>
                  </from>
                  <to>
                    <xdr:col>2</xdr:col>
                    <xdr:colOff>1390650</xdr:colOff>
                    <xdr:row>2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33"/>
  <sheetViews>
    <sheetView showGridLines="0" zoomScaleNormal="100" workbookViewId="0">
      <selection activeCell="V32" sqref="V32"/>
    </sheetView>
  </sheetViews>
  <sheetFormatPr defaultRowHeight="15" x14ac:dyDescent="0.25"/>
  <cols>
    <col min="1" max="1" width="5.85546875" style="211" customWidth="1"/>
    <col min="2" max="2" width="9.140625" style="211"/>
    <col min="3" max="3" width="22" style="211" customWidth="1"/>
    <col min="4" max="4" width="14" style="211" customWidth="1"/>
    <col min="5" max="5" width="4.28515625" style="211" customWidth="1"/>
    <col min="6" max="6" width="3.5703125" style="211" customWidth="1"/>
    <col min="7" max="7" width="0.85546875" style="211" customWidth="1"/>
    <col min="8" max="8" width="9.140625" style="211"/>
    <col min="9" max="9" width="1.28515625" style="211" customWidth="1"/>
    <col min="10" max="10" width="0.7109375" style="211" customWidth="1"/>
    <col min="11" max="11" width="1.42578125" style="211" customWidth="1"/>
    <col min="12" max="12" width="4" style="211" customWidth="1"/>
    <col min="13" max="13" width="2.5703125" style="211" customWidth="1"/>
    <col min="14" max="14" width="4.140625" style="211" customWidth="1"/>
    <col min="15" max="15" width="1.140625" style="211" customWidth="1"/>
    <col min="16" max="16" width="11.140625" style="211" customWidth="1"/>
    <col min="17" max="17" width="0.85546875" style="211" customWidth="1"/>
    <col min="18" max="18" width="4.28515625" style="211" customWidth="1"/>
    <col min="19" max="19" width="3.5703125" style="211" customWidth="1"/>
    <col min="20" max="20" width="0.85546875" style="211" customWidth="1"/>
    <col min="21" max="21" width="6.42578125" style="211" customWidth="1"/>
    <col min="22" max="22" width="10" style="211" customWidth="1"/>
    <col min="23" max="23" width="13.7109375" style="211" bestFit="1" customWidth="1"/>
    <col min="24" max="24" width="8.85546875" style="211" customWidth="1"/>
    <col min="25" max="26" width="13.7109375" style="211" bestFit="1" customWidth="1"/>
    <col min="27" max="27" width="5.85546875" style="211" customWidth="1"/>
    <col min="28" max="16384" width="9.140625" style="211"/>
  </cols>
  <sheetData>
    <row r="1" spans="1:26" ht="19.5" customHeight="1" x14ac:dyDescent="0.25"/>
    <row r="2" spans="1:26" ht="18.75" x14ac:dyDescent="0.25">
      <c r="B2" s="234" t="s">
        <v>205</v>
      </c>
    </row>
    <row r="3" spans="1:26" ht="17.25" customHeight="1" x14ac:dyDescent="0.25">
      <c r="A3" s="220">
        <v>500</v>
      </c>
      <c r="B3" s="215" t="s">
        <v>71</v>
      </c>
      <c r="C3" s="214"/>
      <c r="D3" s="294">
        <f>A3*1000000</f>
        <v>500000000</v>
      </c>
      <c r="F3" s="242" t="s">
        <v>213</v>
      </c>
      <c r="G3" s="232"/>
      <c r="H3" s="211" t="s">
        <v>3</v>
      </c>
      <c r="S3" s="242" t="s">
        <v>212</v>
      </c>
      <c r="T3" s="232"/>
      <c r="U3" s="211" t="s">
        <v>211</v>
      </c>
    </row>
    <row r="4" spans="1:26" ht="17.25" customHeight="1" x14ac:dyDescent="0.25">
      <c r="A4" s="220">
        <v>1000</v>
      </c>
      <c r="B4" s="215" t="s">
        <v>204</v>
      </c>
      <c r="C4" s="214"/>
      <c r="D4" s="294">
        <f>A4*100000</f>
        <v>100000000</v>
      </c>
      <c r="H4" s="221" t="s">
        <v>203</v>
      </c>
      <c r="I4" s="428">
        <f>-D3</f>
        <v>-500000000</v>
      </c>
      <c r="J4" s="428"/>
      <c r="K4" s="428"/>
      <c r="L4" s="428"/>
      <c r="M4" s="428"/>
      <c r="N4" s="428"/>
      <c r="O4" s="428"/>
      <c r="V4" s="438" t="s">
        <v>194</v>
      </c>
      <c r="W4" s="439" t="s">
        <v>193</v>
      </c>
      <c r="X4" s="437" t="s">
        <v>210</v>
      </c>
      <c r="Y4" s="439" t="s">
        <v>209</v>
      </c>
      <c r="Z4" s="438" t="s">
        <v>208</v>
      </c>
    </row>
    <row r="5" spans="1:26" ht="17.25" customHeight="1" x14ac:dyDescent="0.25">
      <c r="A5" s="220"/>
      <c r="B5" s="215" t="s">
        <v>202</v>
      </c>
      <c r="C5" s="214"/>
      <c r="D5" s="327">
        <v>15</v>
      </c>
      <c r="H5" s="221" t="s">
        <v>201</v>
      </c>
      <c r="I5" s="211" t="s">
        <v>216</v>
      </c>
      <c r="L5" s="223" t="s">
        <v>215</v>
      </c>
      <c r="M5" s="258">
        <f>D5</f>
        <v>15</v>
      </c>
      <c r="N5" s="222" t="s">
        <v>6</v>
      </c>
      <c r="P5" s="238">
        <f>D4</f>
        <v>100000000</v>
      </c>
      <c r="V5" s="438"/>
      <c r="W5" s="439"/>
      <c r="X5" s="437"/>
      <c r="Y5" s="439"/>
      <c r="Z5" s="438"/>
    </row>
    <row r="6" spans="1:26" ht="17.25" customHeight="1" x14ac:dyDescent="0.25">
      <c r="A6" s="220">
        <v>12</v>
      </c>
      <c r="B6" s="215" t="s">
        <v>101</v>
      </c>
      <c r="C6" s="214"/>
      <c r="D6" s="330">
        <f>A6/100</f>
        <v>0.12</v>
      </c>
      <c r="H6" s="221" t="s">
        <v>4</v>
      </c>
      <c r="I6" s="431">
        <f>D6</f>
        <v>0.12</v>
      </c>
      <c r="J6" s="431"/>
      <c r="K6" s="431"/>
      <c r="L6" s="431"/>
      <c r="V6" s="222">
        <v>0</v>
      </c>
      <c r="W6" s="240">
        <f>-D3</f>
        <v>-500000000</v>
      </c>
      <c r="X6" s="241">
        <v>1</v>
      </c>
      <c r="Y6" s="240">
        <f t="shared" ref="Y6:Y21" si="0">IF(V6="","",W6*X6)</f>
        <v>-500000000</v>
      </c>
      <c r="Z6" s="240">
        <f>Y6</f>
        <v>-500000000</v>
      </c>
    </row>
    <row r="7" spans="1:26" ht="17.25" customHeight="1" x14ac:dyDescent="0.25">
      <c r="B7" s="305" t="s">
        <v>207</v>
      </c>
      <c r="C7" s="328"/>
      <c r="D7" s="331">
        <v>10</v>
      </c>
      <c r="I7" s="237"/>
      <c r="J7" s="237"/>
      <c r="V7" s="222">
        <f t="shared" ref="V7:V21" si="1">IF(V6&lt;D$5,V6+1,"")</f>
        <v>1</v>
      </c>
      <c r="W7" s="240">
        <f>D4</f>
        <v>100000000</v>
      </c>
      <c r="X7" s="241">
        <f t="shared" ref="X7:X21" si="2">IF(V7="","",1/(1+D$6)^V7)</f>
        <v>0.89285714285714279</v>
      </c>
      <c r="Y7" s="240">
        <f t="shared" si="0"/>
        <v>89285714.285714284</v>
      </c>
      <c r="Z7" s="240">
        <f>IF(V7="","",Z$6+SUM(Y$7:Y7))</f>
        <v>-410714285.71428573</v>
      </c>
    </row>
    <row r="8" spans="1:26" ht="15" customHeight="1" x14ac:dyDescent="0.25">
      <c r="B8" s="442" t="str">
        <f>"Discounted Payback = "&amp;LEFT(-LOG(1-(D3*D6)/D4)/LOG(1+D6),1)&amp;" tahun "&amp;TEXT(MOD(-LOG(1-(D3*D6)/D4)/LOG(1+D6),1)*12,"#")&amp;" bulan "&amp;IF(-LOG(1-(D3*D6)/D4)/LOG(1+D6)&lt;D7," &lt; batas periode ("&amp;D7&amp;" tahun), sehingga usulan investasi diterima"," &gt; batas periode ("&amp;D7&amp;" tahun), sehingga usulan investasi ditolak")</f>
        <v>Discounted Payback = 8 tahun 1 bulan  &lt; batas periode (10 tahun), sehingga usulan investasi diterima</v>
      </c>
      <c r="C8" s="442"/>
      <c r="D8" s="442"/>
      <c r="G8" s="232"/>
      <c r="H8" s="211" t="s">
        <v>200</v>
      </c>
      <c r="I8" s="237"/>
      <c r="J8" s="237"/>
      <c r="V8" s="222">
        <f t="shared" si="1"/>
        <v>2</v>
      </c>
      <c r="W8" s="240">
        <f t="shared" ref="W8:W21" si="3">IF(V8="","",W7)</f>
        <v>100000000</v>
      </c>
      <c r="X8" s="241">
        <f t="shared" si="2"/>
        <v>0.79719387755102034</v>
      </c>
      <c r="Y8" s="240">
        <f t="shared" si="0"/>
        <v>79719387.755102038</v>
      </c>
      <c r="Z8" s="240">
        <f>IF(V8="","",Z$6+SUM(Y$7:Y8))</f>
        <v>-330994897.95918369</v>
      </c>
    </row>
    <row r="9" spans="1:26" ht="15" customHeight="1" x14ac:dyDescent="0.25">
      <c r="B9" s="442"/>
      <c r="C9" s="442"/>
      <c r="D9" s="442"/>
      <c r="K9" s="429" t="s">
        <v>196</v>
      </c>
      <c r="L9" s="429"/>
      <c r="M9" s="435" t="s">
        <v>104</v>
      </c>
      <c r="N9" s="236" t="s">
        <v>199</v>
      </c>
      <c r="V9" s="222">
        <f t="shared" si="1"/>
        <v>3</v>
      </c>
      <c r="W9" s="240">
        <f t="shared" si="3"/>
        <v>100000000</v>
      </c>
      <c r="X9" s="241">
        <f t="shared" si="2"/>
        <v>0.71178024781341087</v>
      </c>
      <c r="Y9" s="240">
        <f t="shared" si="0"/>
        <v>71178024.781341091</v>
      </c>
      <c r="Z9" s="240">
        <f>IF(V9="","",Z$6+SUM(Y$7:Y9))</f>
        <v>-259816873.17784262</v>
      </c>
    </row>
    <row r="10" spans="1:26" ht="15" customHeight="1" x14ac:dyDescent="0.25">
      <c r="B10" s="442"/>
      <c r="C10" s="442"/>
      <c r="D10" s="442"/>
      <c r="H10" s="221" t="s">
        <v>75</v>
      </c>
      <c r="I10" s="236"/>
      <c r="K10" s="430"/>
      <c r="L10" s="430"/>
      <c r="M10" s="436"/>
      <c r="N10" s="236" t="s">
        <v>198</v>
      </c>
      <c r="O10" s="236"/>
      <c r="V10" s="222">
        <f t="shared" si="1"/>
        <v>4</v>
      </c>
      <c r="W10" s="240">
        <f t="shared" si="3"/>
        <v>100000000</v>
      </c>
      <c r="X10" s="241">
        <f t="shared" si="2"/>
        <v>0.63551807840483121</v>
      </c>
      <c r="Y10" s="240">
        <f t="shared" si="0"/>
        <v>63551807.840483122</v>
      </c>
      <c r="Z10" s="240">
        <f>IF(V10="","",Z$6+SUM(Y$7:Y10))</f>
        <v>-196265065.33735949</v>
      </c>
    </row>
    <row r="11" spans="1:26" x14ac:dyDescent="0.25">
      <c r="K11" s="432" t="s">
        <v>197</v>
      </c>
      <c r="L11" s="432"/>
      <c r="M11" s="432"/>
      <c r="N11" s="432"/>
      <c r="V11" s="222">
        <f t="shared" si="1"/>
        <v>5</v>
      </c>
      <c r="W11" s="240">
        <f t="shared" si="3"/>
        <v>100000000</v>
      </c>
      <c r="X11" s="241">
        <f t="shared" si="2"/>
        <v>0.56742685571859919</v>
      </c>
      <c r="Y11" s="240">
        <f t="shared" si="0"/>
        <v>56742685.571859919</v>
      </c>
      <c r="Z11" s="240">
        <f>IF(V11="","",Z$6+SUM(Y$7:Y11))</f>
        <v>-139522379.76549959</v>
      </c>
    </row>
    <row r="12" spans="1:26" x14ac:dyDescent="0.25">
      <c r="K12" s="429" t="s">
        <v>196</v>
      </c>
      <c r="L12" s="429"/>
      <c r="M12" s="429" t="s">
        <v>195</v>
      </c>
      <c r="N12" s="236" t="str">
        <f>TEXT(D3,"#.000")&amp;" x "&amp;TEXT(D6,"0,0###")</f>
        <v>500.000.000 x 0,12</v>
      </c>
      <c r="O12" s="236"/>
      <c r="P12" s="236"/>
      <c r="V12" s="222">
        <f t="shared" si="1"/>
        <v>6</v>
      </c>
      <c r="W12" s="240">
        <f t="shared" si="3"/>
        <v>100000000</v>
      </c>
      <c r="X12" s="241">
        <f t="shared" si="2"/>
        <v>0.50663112117732068</v>
      </c>
      <c r="Y12" s="240">
        <f t="shared" si="0"/>
        <v>50663112.11773207</v>
      </c>
      <c r="Z12" s="240">
        <f>IF(V12="","",Z$6+SUM(Y$7:Y12))</f>
        <v>-88859267.647767544</v>
      </c>
    </row>
    <row r="13" spans="1:26" x14ac:dyDescent="0.25">
      <c r="B13" s="440"/>
      <c r="C13" s="441"/>
      <c r="D13" s="441"/>
      <c r="H13" s="221" t="s">
        <v>6</v>
      </c>
      <c r="I13" s="236"/>
      <c r="K13" s="430"/>
      <c r="L13" s="430"/>
      <c r="M13" s="430"/>
      <c r="N13" s="433">
        <f>D4</f>
        <v>100000000</v>
      </c>
      <c r="O13" s="433"/>
      <c r="P13" s="433"/>
      <c r="V13" s="222">
        <f t="shared" si="1"/>
        <v>7</v>
      </c>
      <c r="W13" s="240">
        <f t="shared" si="3"/>
        <v>100000000</v>
      </c>
      <c r="X13" s="241">
        <f t="shared" si="2"/>
        <v>0.45234921533689343</v>
      </c>
      <c r="Y13" s="240">
        <f t="shared" si="0"/>
        <v>45234921.533689342</v>
      </c>
      <c r="Z13" s="240">
        <f>IF(V13="","",Z$6+SUM(Y$7:Y13))</f>
        <v>-43624346.114078224</v>
      </c>
    </row>
    <row r="14" spans="1:26" x14ac:dyDescent="0.25">
      <c r="B14" s="440"/>
      <c r="C14" s="441"/>
      <c r="D14" s="441"/>
      <c r="K14" s="432" t="str">
        <f>"log (1 + "&amp;TEXT(I6,"0,0###")&amp;")"</f>
        <v>log (1 + 0,12)</v>
      </c>
      <c r="L14" s="432"/>
      <c r="M14" s="432"/>
      <c r="N14" s="432"/>
      <c r="O14" s="432"/>
      <c r="P14" s="432"/>
      <c r="V14" s="222">
        <f t="shared" si="1"/>
        <v>8</v>
      </c>
      <c r="W14" s="240">
        <f t="shared" si="3"/>
        <v>100000000</v>
      </c>
      <c r="X14" s="241">
        <f t="shared" si="2"/>
        <v>0.4038832279793691</v>
      </c>
      <c r="Y14" s="240">
        <f t="shared" si="0"/>
        <v>40388322.797936909</v>
      </c>
      <c r="Z14" s="240">
        <f>IF(V14="","",Z$6+SUM(Y$7:Y14))</f>
        <v>-3236023.3161413074</v>
      </c>
    </row>
    <row r="15" spans="1:26" x14ac:dyDescent="0.25">
      <c r="B15" s="440"/>
      <c r="C15" s="441"/>
      <c r="D15" s="441"/>
      <c r="H15" s="427" t="s">
        <v>6</v>
      </c>
      <c r="I15" s="236"/>
      <c r="K15" s="430" t="str">
        <f>"log "&amp;TEXT(1-(D3*D6)/D4,"0,0#")</f>
        <v>log 0,4</v>
      </c>
      <c r="L15" s="430"/>
      <c r="M15" s="430"/>
      <c r="V15" s="222">
        <f t="shared" si="1"/>
        <v>9</v>
      </c>
      <c r="W15" s="240">
        <f t="shared" si="3"/>
        <v>100000000</v>
      </c>
      <c r="X15" s="241">
        <f t="shared" si="2"/>
        <v>0.36061002498157957</v>
      </c>
      <c r="Y15" s="240">
        <f t="shared" si="0"/>
        <v>36061002.498157956</v>
      </c>
      <c r="Z15" s="240">
        <f>IF(V15="","",Z$6+SUM(Y$7:Y15))</f>
        <v>32824979.182016671</v>
      </c>
    </row>
    <row r="16" spans="1:26" x14ac:dyDescent="0.25">
      <c r="H16" s="427"/>
      <c r="K16" s="211" t="str">
        <f>"log "&amp;TEXT(1+D6,"0,0##")</f>
        <v>log 1,12</v>
      </c>
      <c r="V16" s="222">
        <f t="shared" si="1"/>
        <v>10</v>
      </c>
      <c r="W16" s="240">
        <f t="shared" si="3"/>
        <v>100000000</v>
      </c>
      <c r="X16" s="241">
        <f t="shared" si="2"/>
        <v>0.32197323659069599</v>
      </c>
      <c r="Y16" s="240">
        <f t="shared" si="0"/>
        <v>32197323.659069598</v>
      </c>
      <c r="Z16" s="240">
        <f>IF(V16="","",Z$6+SUM(Y$7:Y16))</f>
        <v>65022302.841086268</v>
      </c>
    </row>
    <row r="17" spans="6:26" x14ac:dyDescent="0.25">
      <c r="F17" s="320"/>
      <c r="H17" s="221" t="s">
        <v>6</v>
      </c>
      <c r="I17" s="421">
        <f>-LOG(1-(D3*D6)/D4)/LOG(1+D6)</f>
        <v>8.0852498146604006</v>
      </c>
      <c r="J17" s="421"/>
      <c r="K17" s="421"/>
      <c r="L17" s="421"/>
      <c r="M17" s="421"/>
      <c r="V17" s="222">
        <f t="shared" si="1"/>
        <v>11</v>
      </c>
      <c r="W17" s="240">
        <f t="shared" si="3"/>
        <v>100000000</v>
      </c>
      <c r="X17" s="241">
        <f t="shared" si="2"/>
        <v>0.28747610409883567</v>
      </c>
      <c r="Y17" s="240">
        <f t="shared" si="0"/>
        <v>28747610.409883566</v>
      </c>
      <c r="Z17" s="240">
        <f>IF(V17="","",Z$6+SUM(Y$7:Y17))</f>
        <v>93769913.250969887</v>
      </c>
    </row>
    <row r="18" spans="6:26" x14ac:dyDescent="0.25">
      <c r="H18" s="221" t="s">
        <v>6</v>
      </c>
      <c r="I18" s="306" t="str">
        <f>LEFT(I17,1)&amp;" tahun "&amp;TEXT(MOD(I17,1)*12,"#")&amp;" bulan"</f>
        <v>8 tahun 1 bulan</v>
      </c>
      <c r="J18" s="235"/>
      <c r="V18" s="222">
        <f t="shared" si="1"/>
        <v>12</v>
      </c>
      <c r="W18" s="240">
        <f t="shared" si="3"/>
        <v>100000000</v>
      </c>
      <c r="X18" s="241">
        <f t="shared" si="2"/>
        <v>0.25667509294538904</v>
      </c>
      <c r="Y18" s="240">
        <f t="shared" si="0"/>
        <v>25667509.294538904</v>
      </c>
      <c r="Z18" s="240">
        <f>IF(V18="","",Z$6+SUM(Y$7:Y18))</f>
        <v>119437422.54550874</v>
      </c>
    </row>
    <row r="19" spans="6:26" ht="15" customHeight="1" x14ac:dyDescent="0.25">
      <c r="V19" s="222">
        <f t="shared" si="1"/>
        <v>13</v>
      </c>
      <c r="W19" s="240">
        <f t="shared" si="3"/>
        <v>100000000</v>
      </c>
      <c r="X19" s="241">
        <f t="shared" si="2"/>
        <v>0.22917419012981158</v>
      </c>
      <c r="Y19" s="240">
        <f t="shared" si="0"/>
        <v>22917419.012981158</v>
      </c>
      <c r="Z19" s="240">
        <f>IF(V19="","",Z$6+SUM(Y$7:Y19))</f>
        <v>142354841.55848992</v>
      </c>
    </row>
    <row r="20" spans="6:26" x14ac:dyDescent="0.25">
      <c r="G20" s="232"/>
      <c r="H20" s="211" t="s">
        <v>82</v>
      </c>
      <c r="V20" s="222">
        <f t="shared" si="1"/>
        <v>14</v>
      </c>
      <c r="W20" s="240">
        <f t="shared" si="3"/>
        <v>100000000</v>
      </c>
      <c r="X20" s="241">
        <f t="shared" si="2"/>
        <v>0.20461981261590317</v>
      </c>
      <c r="Y20" s="240">
        <f t="shared" si="0"/>
        <v>20461981.261590317</v>
      </c>
      <c r="Z20" s="240">
        <f>IF(V20="","",Z$6+SUM(Y$7:Y20))</f>
        <v>162816822.82008028</v>
      </c>
    </row>
    <row r="21" spans="6:26" x14ac:dyDescent="0.25">
      <c r="I21" s="211" t="str">
        <f>IF(I17&lt;=D7,"Usulan investasi diterima","Usulan investasi ditolak")</f>
        <v>Usulan investasi diterima</v>
      </c>
      <c r="V21" s="222">
        <f t="shared" si="1"/>
        <v>15</v>
      </c>
      <c r="W21" s="240">
        <f t="shared" si="3"/>
        <v>100000000</v>
      </c>
      <c r="X21" s="241">
        <f t="shared" si="2"/>
        <v>0.18269626126419927</v>
      </c>
      <c r="Y21" s="240">
        <f t="shared" si="0"/>
        <v>18269626.126419928</v>
      </c>
      <c r="Z21" s="240">
        <f>IF(V21="","",Z$6+SUM(Y$7:Y21))</f>
        <v>181086448.94650018</v>
      </c>
    </row>
    <row r="23" spans="6:26" x14ac:dyDescent="0.25">
      <c r="T23" s="232"/>
      <c r="U23" s="211" t="str">
        <f>"Periode Discounted Payback antara "&amp;COUNTIF(Z7:Z21:Z21,"&lt;0")&amp;" - "&amp;COUNTIF(Z7:Z21,"&lt;0")+1&amp;" tahun"</f>
        <v>Periode Discounted Payback antara 8 - 9 tahun</v>
      </c>
    </row>
    <row r="24" spans="6:26" ht="6" customHeight="1" x14ac:dyDescent="0.25"/>
    <row r="25" spans="6:26" x14ac:dyDescent="0.25">
      <c r="U25" s="427" t="s">
        <v>6</v>
      </c>
      <c r="V25" s="421" t="str">
        <f>COUNTIF(Z7:Z21,"&lt;0")&amp;" tahun +"</f>
        <v>8 tahun +</v>
      </c>
      <c r="W25" s="430" t="str">
        <f>"0 - ("&amp;TEXT(VLOOKUP(COUNTIF(Z7:Z21,"&lt;0"),DISKONTO,5),"#.000")&amp;")"</f>
        <v>0 - (-3.236.023)</v>
      </c>
      <c r="X25" s="430"/>
      <c r="Y25" s="421" t="s">
        <v>206</v>
      </c>
    </row>
    <row r="26" spans="6:26" x14ac:dyDescent="0.25">
      <c r="U26" s="427"/>
      <c r="V26" s="421"/>
      <c r="W26" s="211" t="str">
        <f>TEXT(VLOOKUP(COUNTIF(Z7:Z21,"&lt;0")+1,DISKONTO,5),"#.000")&amp;" - ("&amp;TEXT(VLOOKUP(COUNTIF(Z7:Z21,"&lt;0"),DISKONTO,5),"#.000")&amp;")"</f>
        <v>32.824.979 - (-3.236.023)</v>
      </c>
      <c r="Y26" s="421"/>
    </row>
    <row r="27" spans="6:26" x14ac:dyDescent="0.25">
      <c r="U27" s="427" t="s">
        <v>6</v>
      </c>
      <c r="V27" s="421" t="str">
        <f>V25</f>
        <v>8 tahun +</v>
      </c>
      <c r="W27" s="239" t="str">
        <f>TEXT(-VLOOKUP(COUNTIF(Z7:Z21,"&lt;0"),DISKONTO,5),"#.000")</f>
        <v>3.236.023</v>
      </c>
    </row>
    <row r="28" spans="6:26" x14ac:dyDescent="0.25">
      <c r="U28" s="427"/>
      <c r="V28" s="421"/>
      <c r="W28" s="223" t="str">
        <f>TEXT(VLOOKUP(COUNTIF(Z7:Z21,"&lt;0")+1,DISKONTO,5)-VLOOKUP(COUNTIF(Z7:Z21,"&lt;0"),DISKONTO,5),"#.000")</f>
        <v>36.061.002</v>
      </c>
    </row>
    <row r="29" spans="6:26" x14ac:dyDescent="0.25">
      <c r="U29" s="221" t="s">
        <v>6</v>
      </c>
      <c r="V29" s="223" t="str">
        <f>COUNTIF(Z7:Z21,"&lt;0")&amp;" tahun "&amp;ROUNDDOWN(W27/W28*12,0)&amp;" bulan"</f>
        <v>8 tahun 1 bulan</v>
      </c>
      <c r="X29" s="223"/>
    </row>
    <row r="31" spans="6:26" x14ac:dyDescent="0.25">
      <c r="T31" s="232"/>
      <c r="U31" s="211" t="s">
        <v>82</v>
      </c>
    </row>
    <row r="32" spans="6:26" x14ac:dyDescent="0.25">
      <c r="V32" s="211" t="str">
        <f>IF(COUNTIF(Z7:Z21,"&lt;0")+W27/W28&lt;D7,"Usulan investasi diterima","Usulan investasi ditolak")</f>
        <v>Usulan investasi diterima</v>
      </c>
    </row>
    <row r="33" ht="19.5" customHeight="1" x14ac:dyDescent="0.25"/>
  </sheetData>
  <mergeCells count="27">
    <mergeCell ref="B13:D13"/>
    <mergeCell ref="B14:D14"/>
    <mergeCell ref="B15:D15"/>
    <mergeCell ref="B8:D10"/>
    <mergeCell ref="I4:O4"/>
    <mergeCell ref="M9:M10"/>
    <mergeCell ref="K11:N11"/>
    <mergeCell ref="I6:L6"/>
    <mergeCell ref="K9:L10"/>
    <mergeCell ref="H15:H16"/>
    <mergeCell ref="K15:M15"/>
    <mergeCell ref="Y4:Y5"/>
    <mergeCell ref="Z4:Z5"/>
    <mergeCell ref="W25:X25"/>
    <mergeCell ref="V25:V26"/>
    <mergeCell ref="Y25:Y26"/>
    <mergeCell ref="V27:V28"/>
    <mergeCell ref="X4:X5"/>
    <mergeCell ref="V4:V5"/>
    <mergeCell ref="W4:W5"/>
    <mergeCell ref="U25:U26"/>
    <mergeCell ref="U27:U28"/>
    <mergeCell ref="I17:M17"/>
    <mergeCell ref="M12:M13"/>
    <mergeCell ref="N13:P13"/>
    <mergeCell ref="K12:L13"/>
    <mergeCell ref="K14:P14"/>
  </mergeCells>
  <conditionalFormatting sqref="V6:Z21">
    <cfRule type="notContainsBlanks" dxfId="0" priority="1">
      <formula>LEN(TRIM(V6))&gt;0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4513" r:id="rId3" name="Scroll Bar 1">
              <controlPr defaultSize="0" autoPict="0">
                <anchor moveWithCells="1">
                  <from>
                    <xdr:col>2</xdr:col>
                    <xdr:colOff>904875</xdr:colOff>
                    <xdr:row>4</xdr:row>
                    <xdr:rowOff>28575</xdr:rowOff>
                  </from>
                  <to>
                    <xdr:col>2</xdr:col>
                    <xdr:colOff>1390650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4" r:id="rId4" name="Scroll Bar 2">
              <controlPr defaultSize="0" autoPict="0">
                <anchor moveWithCells="1">
                  <from>
                    <xdr:col>2</xdr:col>
                    <xdr:colOff>904875</xdr:colOff>
                    <xdr:row>5</xdr:row>
                    <xdr:rowOff>19050</xdr:rowOff>
                  </from>
                  <to>
                    <xdr:col>2</xdr:col>
                    <xdr:colOff>1390650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5" r:id="rId5" name="Scroll Bar 3">
              <controlPr defaultSize="0" autoPict="0">
                <anchor moveWithCells="1">
                  <from>
                    <xdr:col>2</xdr:col>
                    <xdr:colOff>904875</xdr:colOff>
                    <xdr:row>3</xdr:row>
                    <xdr:rowOff>28575</xdr:rowOff>
                  </from>
                  <to>
                    <xdr:col>2</xdr:col>
                    <xdr:colOff>1390650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6" r:id="rId6" name="Scroll Bar 4">
              <controlPr defaultSize="0" autoPict="0">
                <anchor moveWithCells="1">
                  <from>
                    <xdr:col>2</xdr:col>
                    <xdr:colOff>904875</xdr:colOff>
                    <xdr:row>2</xdr:row>
                    <xdr:rowOff>38100</xdr:rowOff>
                  </from>
                  <to>
                    <xdr:col>2</xdr:col>
                    <xdr:colOff>1390650</xdr:colOff>
                    <xdr:row>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7" r:id="rId7" name="Scroll Bar 5">
              <controlPr defaultSize="0" autoPict="0">
                <anchor moveWithCells="1">
                  <from>
                    <xdr:col>2</xdr:col>
                    <xdr:colOff>904875</xdr:colOff>
                    <xdr:row>6</xdr:row>
                    <xdr:rowOff>0</xdr:rowOff>
                  </from>
                  <to>
                    <xdr:col>2</xdr:col>
                    <xdr:colOff>1390650</xdr:colOff>
                    <xdr:row>6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8"/>
  <sheetViews>
    <sheetView showGridLines="0" workbookViewId="0">
      <selection activeCell="B13" sqref="B13:E16"/>
    </sheetView>
  </sheetViews>
  <sheetFormatPr defaultRowHeight="15" x14ac:dyDescent="0.25"/>
  <cols>
    <col min="1" max="1" width="5.85546875" style="1" customWidth="1"/>
    <col min="2" max="3" width="9.5703125" style="1" customWidth="1"/>
    <col min="4" max="4" width="20.140625" style="1" customWidth="1"/>
    <col min="5" max="5" width="14.5703125" style="1" customWidth="1"/>
    <col min="6" max="6" width="4.28515625" style="1" customWidth="1"/>
    <col min="7" max="7" width="0.85546875" style="1" customWidth="1"/>
    <col min="8" max="8" width="7" style="1" customWidth="1"/>
    <col min="9" max="9" width="2" style="1" customWidth="1"/>
    <col min="10" max="10" width="7.7109375" style="1" customWidth="1"/>
    <col min="11" max="11" width="19.28515625" style="1" customWidth="1"/>
    <col min="12" max="12" width="5.85546875" style="1" customWidth="1"/>
    <col min="13" max="16384" width="9.140625" style="1"/>
  </cols>
  <sheetData>
    <row r="1" spans="1:11" ht="19.5" customHeight="1" x14ac:dyDescent="0.25"/>
    <row r="2" spans="1:11" ht="18.75" x14ac:dyDescent="0.25">
      <c r="A2" s="186"/>
      <c r="B2" s="20" t="s">
        <v>182</v>
      </c>
      <c r="C2" s="20"/>
    </row>
    <row r="3" spans="1:11" ht="17.25" customHeight="1" x14ac:dyDescent="0.25">
      <c r="A3" s="186"/>
      <c r="B3" s="15" t="s">
        <v>178</v>
      </c>
      <c r="C3" s="117"/>
      <c r="D3" s="117"/>
      <c r="E3" s="188">
        <v>20</v>
      </c>
      <c r="G3" s="14"/>
      <c r="H3" s="1" t="s">
        <v>3</v>
      </c>
    </row>
    <row r="4" spans="1:11" ht="17.25" customHeight="1" x14ac:dyDescent="0.25">
      <c r="A4" s="36">
        <v>100</v>
      </c>
      <c r="B4" s="15" t="s">
        <v>179</v>
      </c>
      <c r="C4" s="117"/>
      <c r="D4" s="117"/>
      <c r="E4" s="17">
        <f>A4*1000000</f>
        <v>100000000</v>
      </c>
      <c r="H4" s="161" t="s">
        <v>13</v>
      </c>
      <c r="I4" s="349">
        <f>E5</f>
        <v>2000000000</v>
      </c>
      <c r="J4" s="349"/>
      <c r="K4" s="349"/>
    </row>
    <row r="5" spans="1:11" ht="17.25" customHeight="1" x14ac:dyDescent="0.25">
      <c r="A5" s="36"/>
      <c r="B5" s="30" t="s">
        <v>149</v>
      </c>
      <c r="C5" s="30"/>
      <c r="D5" s="32"/>
      <c r="E5" s="17">
        <f>E3*E4</f>
        <v>2000000000</v>
      </c>
      <c r="H5" s="161" t="s">
        <v>97</v>
      </c>
      <c r="I5" s="349">
        <f>E7</f>
        <v>30000000</v>
      </c>
      <c r="J5" s="349"/>
      <c r="K5" s="349"/>
    </row>
    <row r="6" spans="1:11" x14ac:dyDescent="0.25">
      <c r="A6" s="36">
        <v>1500</v>
      </c>
      <c r="B6" s="15" t="s">
        <v>180</v>
      </c>
      <c r="C6" s="117"/>
      <c r="D6" s="117"/>
      <c r="E6" s="17">
        <f>A6*1000</f>
        <v>1500000</v>
      </c>
      <c r="H6" s="161" t="s">
        <v>4</v>
      </c>
      <c r="I6" s="350" t="str">
        <f>TEXT(E8,"#,00%  =")</f>
        <v>15,00%  =</v>
      </c>
      <c r="J6" s="350"/>
      <c r="K6" s="1" t="str">
        <f>TEXT(E8/12,"0,0000 ")&amp;"per bulan"</f>
        <v>0,0125 per bulan</v>
      </c>
    </row>
    <row r="7" spans="1:11" x14ac:dyDescent="0.25">
      <c r="A7" s="36"/>
      <c r="B7" s="30" t="s">
        <v>181</v>
      </c>
      <c r="C7" s="30"/>
      <c r="D7" s="32"/>
      <c r="E7" s="17">
        <f>E3*E6</f>
        <v>30000000</v>
      </c>
    </row>
    <row r="8" spans="1:11" x14ac:dyDescent="0.25">
      <c r="A8" s="36">
        <v>15</v>
      </c>
      <c r="B8" s="30" t="s">
        <v>151</v>
      </c>
      <c r="C8" s="30"/>
      <c r="D8" s="32"/>
      <c r="E8" s="18">
        <f>A8/100</f>
        <v>0.15</v>
      </c>
      <c r="G8" s="14"/>
      <c r="H8" s="1" t="s">
        <v>0</v>
      </c>
    </row>
    <row r="9" spans="1:11" ht="18" customHeight="1" x14ac:dyDescent="0.25">
      <c r="A9" s="186"/>
      <c r="E9" s="179"/>
      <c r="H9" s="351" t="s">
        <v>6</v>
      </c>
      <c r="I9" s="92" t="s">
        <v>8</v>
      </c>
      <c r="J9" s="352" t="s">
        <v>9</v>
      </c>
    </row>
    <row r="10" spans="1:11" x14ac:dyDescent="0.25">
      <c r="B10" s="357" t="str">
        <f>"Seseorang berencana membangun kamar kos sebanyak "&amp;E3&amp;" unit dengan biaya pembangunan per kamar Rp "&amp;TEXT(E4,"#.###.. juta")&amp;", sehingga kebutuhan investasi Rp "&amp;IF(E5&lt;1000000000,TEXT(E5,"#.###.. juta"),TEXT(E5,"#.###,00...")&amp;" milyar")</f>
        <v>Seseorang berencana membangun kamar kos sebanyak 20 unit dengan biaya pembangunan per kamar Rp 100 juta, sehingga kebutuhan investasi Rp 2,00 milyar</v>
      </c>
      <c r="C10" s="357"/>
      <c r="D10" s="357"/>
      <c r="E10" s="357"/>
      <c r="H10" s="351"/>
      <c r="I10" s="1" t="s">
        <v>7</v>
      </c>
      <c r="J10" s="352"/>
    </row>
    <row r="11" spans="1:11" x14ac:dyDescent="0.25">
      <c r="B11" s="357"/>
      <c r="C11" s="357"/>
      <c r="D11" s="357"/>
      <c r="E11" s="357"/>
      <c r="H11" s="351" t="s">
        <v>6</v>
      </c>
      <c r="I11" s="355" t="str">
        <f>TEXT(I5,"#.000")</f>
        <v>30.000.000</v>
      </c>
      <c r="J11" s="355"/>
      <c r="K11" s="353" t="str">
        <f>TEXT(E5,"- #.000")</f>
        <v>- 2.000.000.000</v>
      </c>
    </row>
    <row r="12" spans="1:11" x14ac:dyDescent="0.25">
      <c r="B12" s="358"/>
      <c r="C12" s="358"/>
      <c r="D12" s="358"/>
      <c r="E12" s="358"/>
      <c r="H12" s="351"/>
      <c r="I12" s="356" t="str">
        <f>TEXT(E8/12,"0,0000")</f>
        <v>0,0125</v>
      </c>
      <c r="J12" s="356"/>
      <c r="K12" s="353"/>
    </row>
    <row r="13" spans="1:11" x14ac:dyDescent="0.25">
      <c r="B13" s="359" t="str">
        <f>"Seandainya pendapatan sewa kamar per bulan Rp "&amp;TEXT(E7,"#.###,00.. juta")&amp;" ("&amp;E3&amp;" x "&amp;TEXT(E6,"Rp #.###")&amp;") dan tingkat pengembalian (return) yang diinginkan sebesar "&amp;TEXT(E8,"#%")&amp;" akan menghasilkan NPV "&amp;IF(I14&gt;0,"positif","negatif")&amp;" sehingga usulan proyek "&amp;IF(I14&gt;0,"diterima","ditolak")</f>
        <v>Seandainya pendapatan sewa kamar per bulan Rp 30,00 juta (20 x Rp 1.500.000) dan tingkat pengembalian (return) yang diinginkan sebesar 15% akan menghasilkan NPV positif sehingga usulan proyek diterima</v>
      </c>
      <c r="C13" s="359"/>
      <c r="D13" s="359"/>
      <c r="E13" s="359"/>
      <c r="H13" s="161" t="s">
        <v>6</v>
      </c>
      <c r="I13" s="1" t="str">
        <f>TEXT(I11/I12,"#.000 - ")&amp;TEXT(I4,"#.000")</f>
        <v>2.400.000.000 - 2.000.000.000</v>
      </c>
    </row>
    <row r="14" spans="1:11" x14ac:dyDescent="0.25">
      <c r="B14" s="359"/>
      <c r="C14" s="359"/>
      <c r="D14" s="359"/>
      <c r="E14" s="359"/>
      <c r="H14" s="161" t="s">
        <v>6</v>
      </c>
      <c r="I14" s="349">
        <f>(I11/I12)-I4</f>
        <v>400000000</v>
      </c>
      <c r="J14" s="349"/>
      <c r="K14" s="349"/>
    </row>
    <row r="15" spans="1:11" x14ac:dyDescent="0.25">
      <c r="B15" s="359"/>
      <c r="C15" s="359"/>
      <c r="D15" s="359"/>
      <c r="E15" s="359"/>
    </row>
    <row r="16" spans="1:11" x14ac:dyDescent="0.25">
      <c r="B16" s="359"/>
      <c r="C16" s="359"/>
      <c r="D16" s="359"/>
      <c r="E16" s="359"/>
      <c r="G16" s="14"/>
      <c r="H16" s="62" t="s">
        <v>82</v>
      </c>
    </row>
    <row r="17" spans="9:9" x14ac:dyDescent="0.25">
      <c r="I17" s="1" t="str">
        <f>"NPV "&amp;IF(I14&gt;0,"&gt; 0","&lt; 0")&amp;IF(I14&gt;0,", usulan proyek diterima",", usulan proyek ditolak")</f>
        <v>NPV &gt; 0, usulan proyek diterima</v>
      </c>
    </row>
    <row r="18" spans="9:9" ht="19.5" customHeight="1" x14ac:dyDescent="0.25"/>
  </sheetData>
  <mergeCells count="12">
    <mergeCell ref="B10:E12"/>
    <mergeCell ref="B13:E16"/>
    <mergeCell ref="I14:K14"/>
    <mergeCell ref="I4:K4"/>
    <mergeCell ref="I5:K5"/>
    <mergeCell ref="I6:J6"/>
    <mergeCell ref="H9:H10"/>
    <mergeCell ref="J9:J10"/>
    <mergeCell ref="H11:H12"/>
    <mergeCell ref="I11:J11"/>
    <mergeCell ref="K11:K12"/>
    <mergeCell ref="I12:J1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61" r:id="rId3" name="Scroll Bar 1">
              <controlPr defaultSize="0" autoPict="0">
                <anchor moveWithCells="1">
                  <from>
                    <xdr:col>3</xdr:col>
                    <xdr:colOff>762000</xdr:colOff>
                    <xdr:row>5</xdr:row>
                    <xdr:rowOff>9525</xdr:rowOff>
                  </from>
                  <to>
                    <xdr:col>3</xdr:col>
                    <xdr:colOff>1247775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3" r:id="rId4" name="Scroll Bar 3">
              <controlPr defaultSize="0" autoPict="0">
                <anchor moveWithCells="1">
                  <from>
                    <xdr:col>3</xdr:col>
                    <xdr:colOff>762000</xdr:colOff>
                    <xdr:row>6</xdr:row>
                    <xdr:rowOff>171450</xdr:rowOff>
                  </from>
                  <to>
                    <xdr:col>3</xdr:col>
                    <xdr:colOff>1247775</xdr:colOff>
                    <xdr:row>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4" r:id="rId5" name="Scroll Bar 4">
              <controlPr defaultSize="0" autoPict="0">
                <anchor moveWithCells="1">
                  <from>
                    <xdr:col>3</xdr:col>
                    <xdr:colOff>762000</xdr:colOff>
                    <xdr:row>2</xdr:row>
                    <xdr:rowOff>47625</xdr:rowOff>
                  </from>
                  <to>
                    <xdr:col>3</xdr:col>
                    <xdr:colOff>1247775</xdr:colOff>
                    <xdr:row>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5" r:id="rId6" name="Scroll Bar 5">
              <controlPr defaultSize="0" autoPict="0">
                <anchor moveWithCells="1">
                  <from>
                    <xdr:col>3</xdr:col>
                    <xdr:colOff>762000</xdr:colOff>
                    <xdr:row>3</xdr:row>
                    <xdr:rowOff>38100</xdr:rowOff>
                  </from>
                  <to>
                    <xdr:col>3</xdr:col>
                    <xdr:colOff>1247775</xdr:colOff>
                    <xdr:row>3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0"/>
  <sheetViews>
    <sheetView showGridLines="0" topLeftCell="A7" workbookViewId="0">
      <selection activeCell="B6" sqref="B6:D7"/>
    </sheetView>
  </sheetViews>
  <sheetFormatPr defaultRowHeight="15" x14ac:dyDescent="0.25"/>
  <cols>
    <col min="1" max="1" width="5.85546875" style="1" customWidth="1"/>
    <col min="2" max="2" width="10.140625" style="1" customWidth="1"/>
    <col min="3" max="3" width="26.42578125" style="1" customWidth="1"/>
    <col min="4" max="4" width="14.85546875" style="1" customWidth="1"/>
    <col min="5" max="5" width="4.28515625" style="1" customWidth="1"/>
    <col min="6" max="6" width="0.85546875" style="1" customWidth="1"/>
    <col min="7" max="7" width="7.42578125" style="1" customWidth="1"/>
    <col min="8" max="8" width="3.5703125" style="1" customWidth="1"/>
    <col min="9" max="9" width="9" style="1" customWidth="1"/>
    <col min="10" max="10" width="4" style="1" customWidth="1"/>
    <col min="11" max="11" width="6.28515625" style="1" customWidth="1"/>
    <col min="12" max="12" width="0.85546875" style="1" customWidth="1"/>
    <col min="13" max="13" width="6" style="1" customWidth="1"/>
    <col min="14" max="14" width="27.42578125" style="1" customWidth="1"/>
    <col min="15" max="15" width="5.85546875" style="1" customWidth="1"/>
    <col min="16" max="16384" width="9.140625" style="1"/>
  </cols>
  <sheetData>
    <row r="1" spans="1:14" ht="19.5" customHeight="1" x14ac:dyDescent="0.25"/>
    <row r="2" spans="1:14" ht="18.75" x14ac:dyDescent="0.25">
      <c r="B2" s="20" t="s">
        <v>129</v>
      </c>
    </row>
    <row r="3" spans="1:14" ht="18" customHeight="1" x14ac:dyDescent="0.25">
      <c r="A3" s="36">
        <v>1000</v>
      </c>
      <c r="B3" s="30" t="s">
        <v>71</v>
      </c>
      <c r="C3" s="31"/>
      <c r="D3" s="34">
        <f>A3*1000000</f>
        <v>1000000000</v>
      </c>
      <c r="F3" s="14"/>
      <c r="G3" s="1" t="s">
        <v>126</v>
      </c>
    </row>
    <row r="4" spans="1:14" ht="18" x14ac:dyDescent="0.25">
      <c r="A4" s="36">
        <v>1500</v>
      </c>
      <c r="B4" s="30" t="s">
        <v>128</v>
      </c>
      <c r="C4" s="31"/>
      <c r="D4" s="34">
        <f>A4*10000</f>
        <v>15000000</v>
      </c>
      <c r="G4" s="140" t="s">
        <v>13</v>
      </c>
      <c r="H4" s="350">
        <f>D3</f>
        <v>1000000000</v>
      </c>
      <c r="I4" s="350"/>
    </row>
    <row r="5" spans="1:14" ht="18" x14ac:dyDescent="0.25">
      <c r="A5" s="36">
        <v>1250</v>
      </c>
      <c r="B5" s="30" t="s">
        <v>217</v>
      </c>
      <c r="C5" s="31"/>
      <c r="D5" s="169">
        <f>A5/10000</f>
        <v>0.125</v>
      </c>
      <c r="G5" s="140" t="s">
        <v>97</v>
      </c>
      <c r="H5" s="446">
        <f>D4</f>
        <v>15000000</v>
      </c>
      <c r="I5" s="446"/>
      <c r="J5" s="446"/>
      <c r="K5" s="446"/>
    </row>
    <row r="6" spans="1:14" x14ac:dyDescent="0.25">
      <c r="B6" s="406" t="str">
        <f>"Indeks Kemampulabaan (PI) sebesar "&amp;TEXT(D4/(D5/12)/D3,"0,000 ")&amp;IF(D4/(D5/12)&gt;1,"&gt; 1, usulan proyek diterima","&lt; 1, usulan proyek ditolak")</f>
        <v>Indeks Kemampulabaan (PI) sebesar 1,440 &gt; 1, usulan proyek diterima</v>
      </c>
      <c r="C6" s="406"/>
      <c r="D6" s="406"/>
      <c r="G6" s="140" t="s">
        <v>4</v>
      </c>
      <c r="H6" s="386">
        <f>D5</f>
        <v>0.125</v>
      </c>
      <c r="I6" s="386"/>
      <c r="J6" s="141" t="s">
        <v>6</v>
      </c>
      <c r="K6" s="447">
        <f>H6/12</f>
        <v>1.0416666666666666E-2</v>
      </c>
      <c r="L6" s="447"/>
      <c r="M6" s="447"/>
      <c r="N6" s="447"/>
    </row>
    <row r="7" spans="1:14" x14ac:dyDescent="0.25">
      <c r="B7" s="407"/>
      <c r="C7" s="407"/>
      <c r="D7" s="407"/>
    </row>
    <row r="8" spans="1:14" x14ac:dyDescent="0.25">
      <c r="F8" s="14"/>
      <c r="G8" s="1" t="s">
        <v>127</v>
      </c>
      <c r="L8" s="14"/>
      <c r="M8" s="1" t="s">
        <v>59</v>
      </c>
    </row>
    <row r="9" spans="1:14" x14ac:dyDescent="0.25">
      <c r="G9" s="351" t="s">
        <v>124</v>
      </c>
      <c r="H9" s="144" t="s">
        <v>125</v>
      </c>
      <c r="N9" s="1" t="str">
        <f>IF(H19&gt;1,"PI &gt; 1, usulan proyek diterima","PI &lt; 1, usulan proyek ditolak")</f>
        <v>PI &gt; 1, usulan proyek diterima</v>
      </c>
    </row>
    <row r="10" spans="1:14" ht="18" x14ac:dyDescent="0.25">
      <c r="G10" s="351"/>
      <c r="H10" s="141" t="s">
        <v>41</v>
      </c>
    </row>
    <row r="11" spans="1:14" ht="18" x14ac:dyDescent="0.25">
      <c r="H11" s="144" t="s">
        <v>78</v>
      </c>
    </row>
    <row r="12" spans="1:14" x14ac:dyDescent="0.25">
      <c r="G12" s="140" t="s">
        <v>6</v>
      </c>
      <c r="H12" s="168" t="s">
        <v>7</v>
      </c>
    </row>
    <row r="13" spans="1:14" x14ac:dyDescent="0.25">
      <c r="G13" s="140"/>
      <c r="H13" s="141" t="s">
        <v>123</v>
      </c>
    </row>
    <row r="14" spans="1:14" x14ac:dyDescent="0.25">
      <c r="G14" s="140"/>
      <c r="H14" s="362">
        <f>D4</f>
        <v>15000000</v>
      </c>
      <c r="I14" s="355"/>
    </row>
    <row r="15" spans="1:14" x14ac:dyDescent="0.25">
      <c r="G15" s="140" t="s">
        <v>6</v>
      </c>
      <c r="H15" s="445">
        <f>K6</f>
        <v>1.0416666666666666E-2</v>
      </c>
      <c r="I15" s="445"/>
    </row>
    <row r="16" spans="1:14" x14ac:dyDescent="0.25">
      <c r="G16" s="140"/>
      <c r="H16" s="448">
        <f>D3</f>
        <v>1000000000</v>
      </c>
      <c r="I16" s="448"/>
    </row>
    <row r="17" spans="7:9" x14ac:dyDescent="0.25">
      <c r="G17" s="140" t="s">
        <v>6</v>
      </c>
      <c r="H17" s="443">
        <f>H14/H15</f>
        <v>1440000000</v>
      </c>
      <c r="I17" s="443"/>
    </row>
    <row r="18" spans="7:9" x14ac:dyDescent="0.25">
      <c r="G18" s="140"/>
      <c r="H18" s="448">
        <f>H16</f>
        <v>1000000000</v>
      </c>
      <c r="I18" s="448"/>
    </row>
    <row r="19" spans="7:9" x14ac:dyDescent="0.25">
      <c r="G19" s="140" t="s">
        <v>6</v>
      </c>
      <c r="H19" s="444">
        <f>D4/(D5/12)/D3</f>
        <v>1.44</v>
      </c>
      <c r="I19" s="444"/>
    </row>
    <row r="20" spans="7:9" ht="19.5" customHeight="1" x14ac:dyDescent="0.25"/>
  </sheetData>
  <mergeCells count="12">
    <mergeCell ref="B6:D7"/>
    <mergeCell ref="G9:G10"/>
    <mergeCell ref="H17:I17"/>
    <mergeCell ref="H19:I19"/>
    <mergeCell ref="H4:I4"/>
    <mergeCell ref="H6:I6"/>
    <mergeCell ref="H15:I15"/>
    <mergeCell ref="H14:I14"/>
    <mergeCell ref="H5:K5"/>
    <mergeCell ref="K6:N6"/>
    <mergeCell ref="H16:I16"/>
    <mergeCell ref="H18:I1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3" name="Scroll Bar 1">
              <controlPr defaultSize="0" autoPict="0">
                <anchor moveWithCells="1">
                  <from>
                    <xdr:col>2</xdr:col>
                    <xdr:colOff>1181100</xdr:colOff>
                    <xdr:row>2</xdr:row>
                    <xdr:rowOff>28575</xdr:rowOff>
                  </from>
                  <to>
                    <xdr:col>2</xdr:col>
                    <xdr:colOff>1666875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4" name="Scroll Bar 2">
              <controlPr defaultSize="0" autoPict="0">
                <anchor moveWithCells="1">
                  <from>
                    <xdr:col>2</xdr:col>
                    <xdr:colOff>1181100</xdr:colOff>
                    <xdr:row>3</xdr:row>
                    <xdr:rowOff>28575</xdr:rowOff>
                  </from>
                  <to>
                    <xdr:col>2</xdr:col>
                    <xdr:colOff>1666875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5" name="Scroll Bar 3">
              <controlPr defaultSize="0" autoPict="0">
                <anchor moveWithCells="1">
                  <from>
                    <xdr:col>2</xdr:col>
                    <xdr:colOff>1181100</xdr:colOff>
                    <xdr:row>4</xdr:row>
                    <xdr:rowOff>28575</xdr:rowOff>
                  </from>
                  <to>
                    <xdr:col>2</xdr:col>
                    <xdr:colOff>1666875</xdr:colOff>
                    <xdr:row>4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28"/>
  <sheetViews>
    <sheetView showGridLines="0" topLeftCell="A7" zoomScaleNormal="100" workbookViewId="0">
      <selection activeCell="B10" sqref="B10:E11"/>
    </sheetView>
  </sheetViews>
  <sheetFormatPr defaultRowHeight="15" x14ac:dyDescent="0.25"/>
  <cols>
    <col min="1" max="1" width="5.85546875" style="1" customWidth="1"/>
    <col min="2" max="2" width="12.28515625" style="1" customWidth="1"/>
    <col min="3" max="3" width="9.28515625" style="1" customWidth="1"/>
    <col min="4" max="4" width="13.85546875" style="1" customWidth="1"/>
    <col min="5" max="5" width="14.85546875" style="1" customWidth="1"/>
    <col min="6" max="6" width="4.28515625" style="1" customWidth="1"/>
    <col min="7" max="7" width="0.85546875" style="1" customWidth="1"/>
    <col min="8" max="8" width="3.7109375" style="1" customWidth="1"/>
    <col min="9" max="9" width="7.42578125" style="1" customWidth="1"/>
    <col min="10" max="10" width="0.85546875" style="1" customWidth="1"/>
    <col min="11" max="11" width="3.85546875" style="1" customWidth="1"/>
    <col min="12" max="13" width="3.28515625" style="1" customWidth="1"/>
    <col min="14" max="14" width="2.85546875" style="1" customWidth="1"/>
    <col min="15" max="15" width="3.5703125" style="1" customWidth="1"/>
    <col min="16" max="16" width="3.140625" style="1" customWidth="1"/>
    <col min="17" max="17" width="7.28515625" style="1" customWidth="1"/>
    <col min="18" max="18" width="2.28515625" style="1" customWidth="1"/>
    <col min="19" max="19" width="3.5703125" style="1" customWidth="1"/>
    <col min="20" max="20" width="4.5703125" style="1" customWidth="1"/>
    <col min="21" max="21" width="4.85546875" style="1" customWidth="1"/>
    <col min="22" max="22" width="2.28515625" style="1" customWidth="1"/>
    <col min="23" max="23" width="3.5703125" style="1" customWidth="1"/>
    <col min="24" max="24" width="10.140625" style="1" customWidth="1"/>
    <col min="25" max="25" width="2.28515625" style="1" customWidth="1"/>
    <col min="26" max="26" width="3.5703125" style="1" customWidth="1"/>
    <col min="27" max="27" width="10.140625" style="1" customWidth="1"/>
    <col min="28" max="28" width="2.28515625" style="1" customWidth="1"/>
    <col min="29" max="29" width="5.85546875" style="1" customWidth="1"/>
    <col min="30" max="16384" width="9.140625" style="1"/>
  </cols>
  <sheetData>
    <row r="1" spans="1:28" ht="19.5" customHeight="1" x14ac:dyDescent="0.25"/>
    <row r="2" spans="1:28" ht="18.75" x14ac:dyDescent="0.25">
      <c r="B2" s="20" t="s">
        <v>129</v>
      </c>
      <c r="C2" s="20"/>
    </row>
    <row r="3" spans="1:28" ht="16.5" customHeight="1" x14ac:dyDescent="0.25">
      <c r="A3" s="36">
        <v>1250</v>
      </c>
      <c r="B3" s="30" t="s">
        <v>136</v>
      </c>
      <c r="C3" s="30"/>
      <c r="D3" s="31"/>
      <c r="E3" s="34">
        <f t="shared" ref="E3:E8" si="0">A3*1000000</f>
        <v>1250000000</v>
      </c>
      <c r="G3" s="14"/>
      <c r="H3" s="1" t="s">
        <v>3</v>
      </c>
    </row>
    <row r="4" spans="1:28" ht="16.5" customHeight="1" x14ac:dyDescent="0.25">
      <c r="A4" s="36">
        <v>350</v>
      </c>
      <c r="B4" s="30" t="s">
        <v>11</v>
      </c>
      <c r="C4" s="32"/>
      <c r="D4" s="33">
        <v>1</v>
      </c>
      <c r="E4" s="34">
        <f t="shared" si="0"/>
        <v>350000000</v>
      </c>
      <c r="J4" s="140" t="s">
        <v>13</v>
      </c>
      <c r="K4" s="350">
        <f t="shared" ref="K4:K10" si="1">E3</f>
        <v>1250000000</v>
      </c>
      <c r="L4" s="350"/>
      <c r="M4" s="350"/>
      <c r="N4" s="350"/>
      <c r="O4" s="54"/>
    </row>
    <row r="5" spans="1:28" ht="16.5" customHeight="1" x14ac:dyDescent="0.25">
      <c r="A5" s="36">
        <v>400</v>
      </c>
      <c r="B5" s="32"/>
      <c r="C5" s="32"/>
      <c r="D5" s="33">
        <v>2</v>
      </c>
      <c r="E5" s="34">
        <f t="shared" si="0"/>
        <v>400000000</v>
      </c>
      <c r="J5" s="140" t="s">
        <v>14</v>
      </c>
      <c r="K5" s="349">
        <f t="shared" si="1"/>
        <v>350000000</v>
      </c>
      <c r="L5" s="349"/>
      <c r="M5" s="349"/>
      <c r="N5" s="349"/>
      <c r="O5" s="54"/>
    </row>
    <row r="6" spans="1:28" ht="16.5" customHeight="1" x14ac:dyDescent="0.25">
      <c r="A6" s="36">
        <v>500</v>
      </c>
      <c r="B6" s="32"/>
      <c r="C6" s="32"/>
      <c r="D6" s="33">
        <v>3</v>
      </c>
      <c r="E6" s="34">
        <f t="shared" si="0"/>
        <v>500000000</v>
      </c>
      <c r="J6" s="140" t="s">
        <v>15</v>
      </c>
      <c r="K6" s="349">
        <f t="shared" si="1"/>
        <v>400000000</v>
      </c>
      <c r="L6" s="349"/>
      <c r="M6" s="349"/>
      <c r="N6" s="349"/>
      <c r="O6" s="54"/>
    </row>
    <row r="7" spans="1:28" ht="16.5" customHeight="1" x14ac:dyDescent="0.25">
      <c r="A7" s="36">
        <v>550</v>
      </c>
      <c r="B7" s="32"/>
      <c r="C7" s="32"/>
      <c r="D7" s="33">
        <v>4</v>
      </c>
      <c r="E7" s="34">
        <f t="shared" si="0"/>
        <v>550000000</v>
      </c>
      <c r="J7" s="140" t="s">
        <v>16</v>
      </c>
      <c r="K7" s="349">
        <f t="shared" si="1"/>
        <v>500000000</v>
      </c>
      <c r="L7" s="349"/>
      <c r="M7" s="349"/>
      <c r="N7" s="349"/>
      <c r="O7" s="54"/>
    </row>
    <row r="8" spans="1:28" ht="16.5" customHeight="1" x14ac:dyDescent="0.25">
      <c r="A8" s="36">
        <v>500</v>
      </c>
      <c r="B8" s="32"/>
      <c r="C8" s="32"/>
      <c r="D8" s="33">
        <v>5</v>
      </c>
      <c r="E8" s="34">
        <f t="shared" si="0"/>
        <v>500000000</v>
      </c>
      <c r="J8" s="140" t="s">
        <v>17</v>
      </c>
      <c r="K8" s="349">
        <f t="shared" si="1"/>
        <v>550000000</v>
      </c>
      <c r="L8" s="349"/>
      <c r="M8" s="349"/>
      <c r="N8" s="349"/>
      <c r="O8" s="54"/>
    </row>
    <row r="9" spans="1:28" ht="16.5" customHeight="1" x14ac:dyDescent="0.25">
      <c r="A9" s="36">
        <v>12</v>
      </c>
      <c r="B9" s="30" t="s">
        <v>171</v>
      </c>
      <c r="C9" s="30"/>
      <c r="D9" s="31"/>
      <c r="E9" s="35">
        <f>A9/100</f>
        <v>0.12</v>
      </c>
      <c r="J9" s="140" t="s">
        <v>18</v>
      </c>
      <c r="K9" s="349">
        <f t="shared" si="1"/>
        <v>500000000</v>
      </c>
      <c r="L9" s="349"/>
      <c r="M9" s="349"/>
      <c r="N9" s="349"/>
      <c r="O9" s="54"/>
    </row>
    <row r="10" spans="1:28" ht="16.5" customHeight="1" x14ac:dyDescent="0.25">
      <c r="A10" s="62"/>
      <c r="B10" s="406" t="str">
        <f>"Indeks Kemampulabaan (PI) "&amp;TEXT(NPV(E9,E4:E8)/E3,"0,000")&amp;IF(NPV(E9,E4:E8)/E3&gt;1," &gt; 1, usulan investasi proyek diterima"," &lt; 1, usulan proyek ditolak")</f>
        <v>Indeks Kemampulabaan (PI) 1,296 &gt; 1, usulan investasi proyek diterima</v>
      </c>
      <c r="C10" s="406"/>
      <c r="D10" s="406"/>
      <c r="E10" s="406"/>
      <c r="J10" s="140" t="s">
        <v>4</v>
      </c>
      <c r="K10" s="379">
        <f t="shared" si="1"/>
        <v>0.12</v>
      </c>
      <c r="L10" s="379"/>
      <c r="M10" s="379"/>
    </row>
    <row r="11" spans="1:28" ht="16.5" customHeight="1" x14ac:dyDescent="0.25">
      <c r="B11" s="407"/>
      <c r="C11" s="407"/>
      <c r="D11" s="407"/>
      <c r="E11" s="407"/>
    </row>
    <row r="12" spans="1:28" x14ac:dyDescent="0.25">
      <c r="G12" s="14"/>
      <c r="H12" s="1" t="s">
        <v>130</v>
      </c>
    </row>
    <row r="13" spans="1:28" ht="18" x14ac:dyDescent="0.25">
      <c r="F13" s="62"/>
      <c r="G13" s="62"/>
      <c r="M13" s="450" t="s">
        <v>77</v>
      </c>
      <c r="N13" s="355" t="s">
        <v>78</v>
      </c>
      <c r="O13" s="355"/>
    </row>
    <row r="14" spans="1:28" x14ac:dyDescent="0.25">
      <c r="F14" s="62"/>
      <c r="G14" s="62"/>
      <c r="J14" s="141" t="s">
        <v>6</v>
      </c>
      <c r="K14" s="144" t="s">
        <v>125</v>
      </c>
      <c r="L14" s="141" t="s">
        <v>6</v>
      </c>
      <c r="M14" s="451"/>
      <c r="N14" s="355" t="s">
        <v>131</v>
      </c>
      <c r="O14" s="355"/>
    </row>
    <row r="15" spans="1:28" ht="18" x14ac:dyDescent="0.25">
      <c r="F15" s="62"/>
      <c r="G15" s="62"/>
      <c r="K15" s="141" t="s">
        <v>41</v>
      </c>
      <c r="M15" s="361" t="s">
        <v>41</v>
      </c>
      <c r="N15" s="361"/>
      <c r="O15" s="361"/>
    </row>
    <row r="16" spans="1:28" x14ac:dyDescent="0.25">
      <c r="I16" s="351" t="s">
        <v>6</v>
      </c>
      <c r="J16" s="351"/>
      <c r="K16" s="362">
        <f>K5</f>
        <v>350000000</v>
      </c>
      <c r="L16" s="362"/>
      <c r="M16" s="362"/>
      <c r="N16" s="362"/>
      <c r="O16" s="377" t="s">
        <v>29</v>
      </c>
      <c r="P16" s="362">
        <f>K6</f>
        <v>400000000</v>
      </c>
      <c r="Q16" s="362"/>
      <c r="R16" s="362"/>
      <c r="S16" s="377" t="s">
        <v>29</v>
      </c>
      <c r="T16" s="362">
        <f>K7</f>
        <v>500000000</v>
      </c>
      <c r="U16" s="362"/>
      <c r="V16" s="362"/>
      <c r="W16" s="417" t="s">
        <v>29</v>
      </c>
      <c r="X16" s="362">
        <f>K8</f>
        <v>550000000</v>
      </c>
      <c r="Y16" s="362"/>
      <c r="Z16" s="377" t="s">
        <v>29</v>
      </c>
      <c r="AA16" s="362">
        <f>K9</f>
        <v>500000000</v>
      </c>
      <c r="AB16" s="362"/>
    </row>
    <row r="17" spans="7:28" ht="17.25" x14ac:dyDescent="0.25">
      <c r="I17" s="351"/>
      <c r="J17" s="351"/>
      <c r="K17" s="445" t="str">
        <f>"1 + "&amp;TEXT(E9,"0,0##")</f>
        <v>1 + 0,12</v>
      </c>
      <c r="L17" s="445"/>
      <c r="M17" s="445"/>
      <c r="N17" s="445"/>
      <c r="O17" s="355"/>
      <c r="P17" s="413" t="str">
        <f>"(1 + "&amp;TEXT($E9,"0,0##")&amp;")"</f>
        <v>(1 + 0,12)</v>
      </c>
      <c r="Q17" s="413"/>
      <c r="R17" s="119">
        <v>2</v>
      </c>
      <c r="S17" s="355"/>
      <c r="T17" s="413" t="str">
        <f>"(1 + "&amp;TEXT($E9,"0,0##")&amp;")"</f>
        <v>(1 + 0,12)</v>
      </c>
      <c r="U17" s="413"/>
      <c r="V17" s="119">
        <v>3</v>
      </c>
      <c r="W17" s="362"/>
      <c r="X17" s="138" t="str">
        <f>"(1 + "&amp;TEXT($E9,"0,0##")&amp;")"</f>
        <v>(1 + 0,12)</v>
      </c>
      <c r="Y17" s="93">
        <v>4</v>
      </c>
      <c r="Z17" s="355"/>
      <c r="AA17" s="138" t="str">
        <f>"(1 + "&amp;TEXT($E9,"0,0##")&amp;")"</f>
        <v>(1 + 0,12)</v>
      </c>
      <c r="AB17" s="93">
        <v>5</v>
      </c>
    </row>
    <row r="18" spans="7:28" ht="17.25" customHeight="1" x14ac:dyDescent="0.25">
      <c r="I18" s="140"/>
      <c r="J18" s="140"/>
      <c r="K18" s="448">
        <f>K4</f>
        <v>1250000000</v>
      </c>
      <c r="L18" s="448"/>
      <c r="M18" s="448"/>
      <c r="N18" s="448"/>
      <c r="O18" s="448"/>
      <c r="P18" s="448"/>
      <c r="Q18" s="448"/>
      <c r="R18" s="448"/>
      <c r="S18" s="448"/>
      <c r="T18" s="448"/>
      <c r="U18" s="448"/>
      <c r="V18" s="448"/>
      <c r="W18" s="448"/>
      <c r="X18" s="448"/>
      <c r="Y18" s="448"/>
      <c r="Z18" s="448"/>
      <c r="AA18" s="448"/>
      <c r="AB18" s="448"/>
    </row>
    <row r="19" spans="7:28" ht="17.25" x14ac:dyDescent="0.25">
      <c r="I19" s="351" t="s">
        <v>6</v>
      </c>
      <c r="J19" s="351"/>
      <c r="K19" s="362">
        <f>K16/(1+E9)+P16/(1+E9)^2+T16/(1+E9)^3+X16/(1+E9)^4+AA16/(1+E9)^5</f>
        <v>1620516045.9090703</v>
      </c>
      <c r="L19" s="362"/>
      <c r="M19" s="362"/>
      <c r="N19" s="362"/>
      <c r="O19" s="141"/>
      <c r="P19" s="27"/>
      <c r="Q19" s="27"/>
      <c r="R19" s="126"/>
      <c r="S19" s="141"/>
      <c r="T19" s="27"/>
      <c r="U19" s="27"/>
      <c r="V19" s="126"/>
      <c r="W19" s="146"/>
      <c r="X19" s="27"/>
      <c r="Y19" s="126"/>
      <c r="Z19" s="141"/>
      <c r="AA19" s="27"/>
      <c r="AB19" s="126"/>
    </row>
    <row r="20" spans="7:28" x14ac:dyDescent="0.25">
      <c r="H20" s="140"/>
      <c r="I20" s="351"/>
      <c r="J20" s="351"/>
      <c r="K20" s="417">
        <f>K4</f>
        <v>1250000000</v>
      </c>
      <c r="L20" s="417"/>
      <c r="M20" s="417"/>
      <c r="N20" s="417"/>
      <c r="O20" s="141"/>
      <c r="P20" s="150"/>
      <c r="Q20" s="150"/>
      <c r="R20" s="150"/>
      <c r="S20" s="141"/>
      <c r="T20" s="150"/>
      <c r="U20" s="150"/>
      <c r="V20" s="150"/>
      <c r="W20" s="146"/>
      <c r="X20" s="150"/>
      <c r="Y20" s="150"/>
      <c r="Z20" s="141"/>
      <c r="AA20" s="150"/>
      <c r="AB20" s="150"/>
    </row>
    <row r="21" spans="7:28" x14ac:dyDescent="0.25">
      <c r="J21" s="140" t="s">
        <v>6</v>
      </c>
      <c r="K21" s="452">
        <f>K19/K20</f>
        <v>1.2964128367272563</v>
      </c>
      <c r="L21" s="452"/>
      <c r="M21" s="452"/>
    </row>
    <row r="22" spans="7:28" x14ac:dyDescent="0.25">
      <c r="K22" s="170"/>
      <c r="L22" s="170"/>
      <c r="M22" s="170"/>
    </row>
    <row r="23" spans="7:28" x14ac:dyDescent="0.25">
      <c r="G23" s="14"/>
      <c r="H23" s="1" t="s">
        <v>132</v>
      </c>
    </row>
    <row r="24" spans="7:28" x14ac:dyDescent="0.25">
      <c r="I24" s="140"/>
      <c r="J24" s="322" t="s">
        <v>133</v>
      </c>
    </row>
    <row r="25" spans="7:28" x14ac:dyDescent="0.25">
      <c r="I25" s="140" t="s">
        <v>6</v>
      </c>
      <c r="J25" s="449">
        <f>NPV(K10,K5:N9)/E3</f>
        <v>1.296412836727256</v>
      </c>
      <c r="K25" s="449"/>
      <c r="L25" s="449"/>
      <c r="M25" s="173"/>
      <c r="N25" s="172" t="s">
        <v>135</v>
      </c>
      <c r="O25" s="172"/>
      <c r="R25" s="52"/>
    </row>
    <row r="26" spans="7:28" x14ac:dyDescent="0.25">
      <c r="H26" s="140"/>
      <c r="I26" s="140"/>
      <c r="J26" s="140"/>
      <c r="K26" s="142"/>
      <c r="L26" s="142"/>
      <c r="M26" s="143"/>
      <c r="N26" s="143"/>
      <c r="P26" s="29"/>
      <c r="Q26" s="29"/>
      <c r="R26" s="29"/>
    </row>
    <row r="27" spans="7:28" x14ac:dyDescent="0.25">
      <c r="G27" s="14"/>
      <c r="H27" s="145" t="s">
        <v>34</v>
      </c>
      <c r="J27" s="142"/>
      <c r="K27" s="39" t="str">
        <f>IF(J25&gt;1,"PI &gt; 1, usulan proyek diterima"," PI &lt; 1, usulan proyek ditolak")</f>
        <v>PI &gt; 1, usulan proyek diterima</v>
      </c>
      <c r="L27" s="39"/>
      <c r="N27" s="143"/>
      <c r="P27" s="29"/>
      <c r="Q27" s="29"/>
      <c r="R27" s="29"/>
    </row>
    <row r="28" spans="7:28" ht="19.5" customHeight="1" x14ac:dyDescent="0.25"/>
  </sheetData>
  <mergeCells count="31">
    <mergeCell ref="J25:L25"/>
    <mergeCell ref="I19:J20"/>
    <mergeCell ref="K19:N19"/>
    <mergeCell ref="M13:M14"/>
    <mergeCell ref="K10:M10"/>
    <mergeCell ref="N13:O13"/>
    <mergeCell ref="N14:O14"/>
    <mergeCell ref="M15:O15"/>
    <mergeCell ref="K21:M21"/>
    <mergeCell ref="K18:AB18"/>
    <mergeCell ref="K20:N20"/>
    <mergeCell ref="X16:Y16"/>
    <mergeCell ref="Z16:Z17"/>
    <mergeCell ref="AA16:AB16"/>
    <mergeCell ref="K17:N17"/>
    <mergeCell ref="I16:J17"/>
    <mergeCell ref="K16:N16"/>
    <mergeCell ref="O16:O17"/>
    <mergeCell ref="P16:R16"/>
    <mergeCell ref="B10:E11"/>
    <mergeCell ref="S16:S17"/>
    <mergeCell ref="W16:W17"/>
    <mergeCell ref="K4:N4"/>
    <mergeCell ref="K5:N5"/>
    <mergeCell ref="K6:N6"/>
    <mergeCell ref="K7:N7"/>
    <mergeCell ref="K8:N8"/>
    <mergeCell ref="K9:N9"/>
    <mergeCell ref="T17:U17"/>
    <mergeCell ref="T16:V16"/>
    <mergeCell ref="P17:Q17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5" r:id="rId3" name="Scroll Bar 1">
              <controlPr defaultSize="0" autoPict="0">
                <anchor moveWithCells="1">
                  <from>
                    <xdr:col>3</xdr:col>
                    <xdr:colOff>352425</xdr:colOff>
                    <xdr:row>3</xdr:row>
                    <xdr:rowOff>9525</xdr:rowOff>
                  </from>
                  <to>
                    <xdr:col>3</xdr:col>
                    <xdr:colOff>838200</xdr:colOff>
                    <xdr:row>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6" r:id="rId4" name="Scroll Bar 2">
              <controlPr defaultSize="0" autoPict="0">
                <anchor moveWithCells="1">
                  <from>
                    <xdr:col>3</xdr:col>
                    <xdr:colOff>352425</xdr:colOff>
                    <xdr:row>2</xdr:row>
                    <xdr:rowOff>28575</xdr:rowOff>
                  </from>
                  <to>
                    <xdr:col>3</xdr:col>
                    <xdr:colOff>838200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7" r:id="rId5" name="Scroll Bar 3">
              <controlPr defaultSize="0" autoPict="0">
                <anchor moveWithCells="1">
                  <from>
                    <xdr:col>3</xdr:col>
                    <xdr:colOff>352425</xdr:colOff>
                    <xdr:row>4</xdr:row>
                    <xdr:rowOff>9525</xdr:rowOff>
                  </from>
                  <to>
                    <xdr:col>3</xdr:col>
                    <xdr:colOff>838200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8" r:id="rId6" name="Scroll Bar 4">
              <controlPr defaultSize="0" autoPict="0">
                <anchor moveWithCells="1">
                  <from>
                    <xdr:col>3</xdr:col>
                    <xdr:colOff>352425</xdr:colOff>
                    <xdr:row>5</xdr:row>
                    <xdr:rowOff>9525</xdr:rowOff>
                  </from>
                  <to>
                    <xdr:col>3</xdr:col>
                    <xdr:colOff>838200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9" r:id="rId7" name="Scroll Bar 5">
              <controlPr defaultSize="0" autoPict="0">
                <anchor moveWithCells="1">
                  <from>
                    <xdr:col>3</xdr:col>
                    <xdr:colOff>352425</xdr:colOff>
                    <xdr:row>6</xdr:row>
                    <xdr:rowOff>9525</xdr:rowOff>
                  </from>
                  <to>
                    <xdr:col>3</xdr:col>
                    <xdr:colOff>838200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0" r:id="rId8" name="Scroll Bar 6">
              <controlPr defaultSize="0" autoPict="0">
                <anchor moveWithCells="1">
                  <from>
                    <xdr:col>3</xdr:col>
                    <xdr:colOff>352425</xdr:colOff>
                    <xdr:row>7</xdr:row>
                    <xdr:rowOff>9525</xdr:rowOff>
                  </from>
                  <to>
                    <xdr:col>3</xdr:col>
                    <xdr:colOff>838200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1" r:id="rId9" name="Scroll Bar 7">
              <controlPr defaultSize="0" autoPict="0">
                <anchor moveWithCells="1">
                  <from>
                    <xdr:col>3</xdr:col>
                    <xdr:colOff>352425</xdr:colOff>
                    <xdr:row>8</xdr:row>
                    <xdr:rowOff>19050</xdr:rowOff>
                  </from>
                  <to>
                    <xdr:col>3</xdr:col>
                    <xdr:colOff>838200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5"/>
  <sheetViews>
    <sheetView showGridLines="0" workbookViewId="0">
      <selection activeCell="W12" sqref="W12:X12"/>
    </sheetView>
  </sheetViews>
  <sheetFormatPr defaultRowHeight="15" x14ac:dyDescent="0.25"/>
  <cols>
    <col min="1" max="1" width="5.85546875" style="1" customWidth="1"/>
    <col min="2" max="2" width="12" style="1" bestFit="1" customWidth="1"/>
    <col min="3" max="3" width="9.5703125" style="1" customWidth="1"/>
    <col min="4" max="4" width="15.28515625" style="1" customWidth="1"/>
    <col min="5" max="5" width="4.28515625" style="1" customWidth="1"/>
    <col min="6" max="6" width="0.85546875" style="1" customWidth="1"/>
    <col min="7" max="7" width="4.5703125" style="1" customWidth="1"/>
    <col min="8" max="8" width="7.28515625" style="1" customWidth="1"/>
    <col min="9" max="9" width="2.85546875" style="1" customWidth="1"/>
    <col min="10" max="10" width="8.5703125" style="1" customWidth="1"/>
    <col min="11" max="11" width="2.5703125" style="1" customWidth="1"/>
    <col min="12" max="12" width="9.85546875" style="1" customWidth="1"/>
    <col min="13" max="13" width="2.28515625" style="1" customWidth="1"/>
    <col min="14" max="14" width="2.7109375" style="1" customWidth="1"/>
    <col min="15" max="15" width="3" style="1" customWidth="1"/>
    <col min="16" max="16" width="3.28515625" style="1" customWidth="1"/>
    <col min="17" max="17" width="6.5703125" style="1" customWidth="1"/>
    <col min="18" max="18" width="5" style="1" customWidth="1"/>
    <col min="19" max="19" width="4.28515625" style="1" customWidth="1"/>
    <col min="20" max="20" width="0.7109375" style="1" customWidth="1"/>
    <col min="21" max="21" width="4.5703125" style="1" customWidth="1"/>
    <col min="22" max="22" width="7.28515625" style="1" customWidth="1"/>
    <col min="23" max="23" width="2.42578125" style="1" customWidth="1"/>
    <col min="24" max="24" width="8.5703125" style="1" customWidth="1"/>
    <col min="25" max="26" width="2.42578125" style="1" customWidth="1"/>
    <col min="27" max="27" width="8.7109375" style="1" customWidth="1"/>
    <col min="28" max="28" width="3.140625" style="1" customWidth="1"/>
    <col min="29" max="29" width="2.7109375" style="1" customWidth="1"/>
    <col min="30" max="30" width="11.85546875" style="1" bestFit="1" customWidth="1"/>
    <col min="31" max="31" width="5.85546875" style="1" customWidth="1"/>
    <col min="32" max="16384" width="9.140625" style="1"/>
  </cols>
  <sheetData>
    <row r="1" spans="1:30" ht="19.5" customHeight="1" x14ac:dyDescent="0.25"/>
    <row r="2" spans="1:30" ht="15.75" x14ac:dyDescent="0.25">
      <c r="B2" s="262" t="s">
        <v>148</v>
      </c>
    </row>
    <row r="3" spans="1:30" ht="17.25" customHeight="1" x14ac:dyDescent="0.25">
      <c r="A3" s="36">
        <v>135</v>
      </c>
      <c r="B3" s="261">
        <v>0</v>
      </c>
      <c r="C3" s="31"/>
      <c r="D3" s="34">
        <f>-A3*1000000</f>
        <v>-135000000</v>
      </c>
      <c r="F3" s="14"/>
      <c r="G3" s="1" t="s">
        <v>219</v>
      </c>
      <c r="T3" s="14"/>
      <c r="U3" s="1" t="s">
        <v>221</v>
      </c>
    </row>
    <row r="4" spans="1:30" ht="17.25" customHeight="1" x14ac:dyDescent="0.25">
      <c r="A4" s="36">
        <v>310</v>
      </c>
      <c r="B4" s="261">
        <v>1</v>
      </c>
      <c r="C4" s="31"/>
      <c r="D4" s="34">
        <f>A4*1000000</f>
        <v>310000000</v>
      </c>
      <c r="H4" s="199" t="s">
        <v>194</v>
      </c>
      <c r="I4" s="445" t="s">
        <v>193</v>
      </c>
      <c r="J4" s="445"/>
      <c r="K4" s="445"/>
      <c r="L4" s="445"/>
      <c r="M4" s="445"/>
      <c r="N4" s="445"/>
      <c r="O4" s="445"/>
      <c r="P4" s="445"/>
      <c r="Q4" s="445"/>
      <c r="V4" s="199" t="s">
        <v>194</v>
      </c>
      <c r="W4" s="94"/>
      <c r="X4" s="445" t="s">
        <v>193</v>
      </c>
      <c r="Y4" s="445"/>
      <c r="Z4" s="445"/>
      <c r="AA4" s="445"/>
      <c r="AB4" s="445"/>
      <c r="AC4" s="445"/>
      <c r="AD4" s="445"/>
    </row>
    <row r="5" spans="1:30" ht="17.25" customHeight="1" x14ac:dyDescent="0.25">
      <c r="A5" s="36">
        <v>180</v>
      </c>
      <c r="B5" s="261">
        <v>2</v>
      </c>
      <c r="C5" s="31"/>
      <c r="D5" s="34">
        <f t="shared" ref="D5" si="0">-A5*1000000</f>
        <v>-180000000</v>
      </c>
      <c r="H5" s="361">
        <v>0</v>
      </c>
      <c r="I5" s="370" t="str">
        <f>TEXT(D3,"#.000")</f>
        <v>-135.000.000</v>
      </c>
      <c r="J5" s="370"/>
      <c r="K5" s="361" t="s">
        <v>29</v>
      </c>
      <c r="L5" s="456">
        <f>D5</f>
        <v>-180000000</v>
      </c>
      <c r="M5" s="456"/>
      <c r="N5" s="361" t="s">
        <v>6</v>
      </c>
      <c r="O5" s="349">
        <f>D3+(D5/(1+D6)^2)</f>
        <v>-271105860.11342156</v>
      </c>
      <c r="P5" s="349"/>
      <c r="Q5" s="349"/>
      <c r="V5" s="196">
        <v>0</v>
      </c>
      <c r="W5" s="448">
        <f>D3</f>
        <v>-135000000</v>
      </c>
      <c r="X5" s="448"/>
      <c r="Y5" s="448"/>
      <c r="Z5" s="196" t="s">
        <v>29</v>
      </c>
      <c r="AA5" s="453">
        <f>L5</f>
        <v>-180000000</v>
      </c>
      <c r="AB5" s="453"/>
      <c r="AC5" s="361" t="s">
        <v>6</v>
      </c>
      <c r="AD5" s="457">
        <f>D3+(D5/(1+D6)^2)</f>
        <v>-271105860.11342156</v>
      </c>
    </row>
    <row r="6" spans="1:30" ht="17.25" customHeight="1" x14ac:dyDescent="0.25">
      <c r="A6" s="36">
        <v>15</v>
      </c>
      <c r="B6" s="30" t="s">
        <v>151</v>
      </c>
      <c r="C6" s="31"/>
      <c r="D6" s="35">
        <f>A6/100</f>
        <v>0.15</v>
      </c>
      <c r="H6" s="361"/>
      <c r="I6" s="455"/>
      <c r="J6" s="455"/>
      <c r="K6" s="361"/>
      <c r="L6" s="194" t="str">
        <f>"(1 + "&amp;TEXT(D6,"0,00)")</f>
        <v>(1 + 0,15)</v>
      </c>
      <c r="M6" s="91">
        <v>2</v>
      </c>
      <c r="N6" s="361"/>
      <c r="O6" s="349"/>
      <c r="P6" s="349"/>
      <c r="Q6" s="349"/>
      <c r="V6" s="196"/>
      <c r="W6" s="417"/>
      <c r="X6" s="417"/>
      <c r="Y6" s="417"/>
      <c r="AA6" s="321" t="str">
        <f>L6</f>
        <v>(1 + 0,15)</v>
      </c>
      <c r="AB6" s="91">
        <f>M6</f>
        <v>2</v>
      </c>
      <c r="AC6" s="361"/>
      <c r="AD6" s="349"/>
    </row>
    <row r="7" spans="1:30" x14ac:dyDescent="0.25">
      <c r="H7" s="259">
        <f>B4</f>
        <v>1</v>
      </c>
      <c r="L7" s="458">
        <f>D4</f>
        <v>310000000</v>
      </c>
      <c r="M7" s="458"/>
      <c r="V7" s="196">
        <v>1</v>
      </c>
      <c r="AA7" s="351">
        <v>0</v>
      </c>
      <c r="AB7" s="351"/>
    </row>
    <row r="8" spans="1:30" x14ac:dyDescent="0.25">
      <c r="D8" s="1" t="s">
        <v>218</v>
      </c>
      <c r="H8" s="260">
        <f>B5</f>
        <v>2</v>
      </c>
      <c r="I8" s="92"/>
      <c r="J8" s="92"/>
      <c r="K8" s="92"/>
      <c r="L8" s="459">
        <v>0</v>
      </c>
      <c r="M8" s="459"/>
      <c r="N8" s="92"/>
      <c r="O8" s="92"/>
      <c r="P8" s="92"/>
      <c r="Q8" s="92"/>
      <c r="V8" s="195">
        <v>2</v>
      </c>
      <c r="W8" s="92"/>
      <c r="X8" s="92"/>
      <c r="Y8" s="92"/>
      <c r="Z8" s="92"/>
      <c r="AA8" s="92"/>
      <c r="AB8" s="201" t="str">
        <f>L19</f>
        <v>(310.000.000 x 1,15)</v>
      </c>
      <c r="AC8" s="195" t="s">
        <v>6</v>
      </c>
      <c r="AD8" s="200">
        <f>D4*(1+D6)</f>
        <v>356500000</v>
      </c>
    </row>
    <row r="9" spans="1:30" ht="10.5" customHeight="1" x14ac:dyDescent="0.25">
      <c r="X9" s="92"/>
      <c r="Y9" s="92"/>
      <c r="Z9" s="104"/>
    </row>
    <row r="10" spans="1:30" x14ac:dyDescent="0.25">
      <c r="H10" s="194" t="s">
        <v>144</v>
      </c>
      <c r="I10" s="1" t="str">
        <f>TEXT(-O5,"#.000")&amp;" (1 + MIRR)"</f>
        <v>271.105.860 (1 + MIRR)</v>
      </c>
      <c r="M10" s="1" t="s">
        <v>6</v>
      </c>
      <c r="N10" s="349">
        <f>L7</f>
        <v>310000000</v>
      </c>
      <c r="O10" s="349"/>
      <c r="P10" s="349"/>
      <c r="Q10" s="349"/>
      <c r="V10" s="361" t="s">
        <v>144</v>
      </c>
      <c r="X10" s="453">
        <f>AD8</f>
        <v>356500000</v>
      </c>
      <c r="Y10" s="453"/>
      <c r="Z10" s="454">
        <v>-1</v>
      </c>
    </row>
    <row r="11" spans="1:30" ht="17.25" x14ac:dyDescent="0.25">
      <c r="H11" s="351" t="s">
        <v>6</v>
      </c>
      <c r="I11" s="362">
        <f>N10</f>
        <v>310000000</v>
      </c>
      <c r="J11" s="362"/>
      <c r="K11" s="349">
        <v>-1</v>
      </c>
      <c r="L11" s="349"/>
      <c r="V11" s="361"/>
      <c r="W11" s="91">
        <f>M6</f>
        <v>2</v>
      </c>
      <c r="X11" s="448">
        <f>-AD5</f>
        <v>271105860.11342156</v>
      </c>
      <c r="Y11" s="448"/>
      <c r="Z11" s="454"/>
    </row>
    <row r="12" spans="1:30" x14ac:dyDescent="0.25">
      <c r="H12" s="351"/>
      <c r="I12" s="350">
        <f>-O5</f>
        <v>271105860.11342156</v>
      </c>
      <c r="J12" s="350"/>
      <c r="K12" s="349"/>
      <c r="L12" s="349"/>
      <c r="V12" s="194" t="s">
        <v>6</v>
      </c>
      <c r="W12" s="388">
        <f>POWER(X10/X11,1/W11)-1</f>
        <v>0.14672772949109203</v>
      </c>
      <c r="X12" s="388"/>
      <c r="Y12" s="198"/>
    </row>
    <row r="13" spans="1:30" x14ac:dyDescent="0.25">
      <c r="H13" s="194" t="s">
        <v>6</v>
      </c>
      <c r="I13" s="388">
        <f>(I11/I12)-1</f>
        <v>0.14346477007286551</v>
      </c>
      <c r="J13" s="388"/>
    </row>
    <row r="15" spans="1:30" x14ac:dyDescent="0.25">
      <c r="F15" s="14"/>
      <c r="G15" s="1" t="s">
        <v>220</v>
      </c>
    </row>
    <row r="16" spans="1:30" x14ac:dyDescent="0.25">
      <c r="H16" s="94" t="s">
        <v>194</v>
      </c>
      <c r="I16" s="445" t="s">
        <v>193</v>
      </c>
      <c r="J16" s="445"/>
      <c r="K16" s="445"/>
      <c r="L16" s="445"/>
      <c r="M16" s="445"/>
      <c r="N16" s="445"/>
      <c r="O16" s="445"/>
      <c r="P16" s="445"/>
      <c r="Q16" s="445"/>
      <c r="R16" s="445"/>
    </row>
    <row r="17" spans="8:19" x14ac:dyDescent="0.25">
      <c r="H17" s="197">
        <v>0</v>
      </c>
      <c r="I17" s="27"/>
      <c r="J17" s="27"/>
      <c r="K17" s="196"/>
      <c r="L17" s="460">
        <f>D3</f>
        <v>-135000000</v>
      </c>
      <c r="M17" s="460"/>
      <c r="N17" s="104"/>
      <c r="O17" s="112"/>
      <c r="P17" s="112"/>
      <c r="Q17" s="112"/>
    </row>
    <row r="18" spans="8:19" x14ac:dyDescent="0.25">
      <c r="H18" s="259">
        <f>H7</f>
        <v>1</v>
      </c>
      <c r="L18" s="458">
        <f>D16</f>
        <v>0</v>
      </c>
      <c r="M18" s="458"/>
    </row>
    <row r="19" spans="8:19" x14ac:dyDescent="0.25">
      <c r="H19" s="260">
        <f>H8</f>
        <v>2</v>
      </c>
      <c r="I19" s="456">
        <f>-D5</f>
        <v>180000000</v>
      </c>
      <c r="J19" s="456"/>
      <c r="K19" s="195" t="s">
        <v>29</v>
      </c>
      <c r="L19" s="92" t="str">
        <f>"("&amp;TEXT(D4,"#.000 x ")&amp;TEXT(1+D6,"#,00)")</f>
        <v>(310.000.000 x 1,15)</v>
      </c>
      <c r="M19" s="92"/>
      <c r="N19" s="92"/>
      <c r="O19" s="92"/>
      <c r="P19" s="195" t="s">
        <v>6</v>
      </c>
      <c r="Q19" s="443">
        <f>D5+(D4*(1+D6))</f>
        <v>176500000</v>
      </c>
      <c r="R19" s="443"/>
      <c r="S19" s="193"/>
    </row>
    <row r="20" spans="8:19" ht="10.5" customHeight="1" x14ac:dyDescent="0.25">
      <c r="J20" s="92"/>
      <c r="K20" s="92"/>
    </row>
    <row r="21" spans="8:19" x14ac:dyDescent="0.25">
      <c r="H21" s="361" t="s">
        <v>144</v>
      </c>
      <c r="J21" s="362">
        <f>Q19</f>
        <v>176500000</v>
      </c>
      <c r="K21" s="362"/>
      <c r="L21" s="353">
        <v>-1</v>
      </c>
      <c r="N21" s="349"/>
      <c r="O21" s="349"/>
      <c r="P21" s="349"/>
      <c r="Q21" s="349"/>
    </row>
    <row r="22" spans="8:19" ht="17.25" x14ac:dyDescent="0.25">
      <c r="H22" s="361"/>
      <c r="I22" s="91">
        <v>2</v>
      </c>
      <c r="J22" s="350">
        <f>-L17</f>
        <v>135000000</v>
      </c>
      <c r="K22" s="350"/>
      <c r="L22" s="353"/>
      <c r="N22" s="192"/>
      <c r="O22" s="192"/>
      <c r="P22" s="192"/>
      <c r="Q22" s="192"/>
    </row>
    <row r="23" spans="8:19" x14ac:dyDescent="0.25">
      <c r="H23" s="194" t="s">
        <v>6</v>
      </c>
      <c r="I23" s="388">
        <f>POWER(Q19/-L17,1/W11)-1</f>
        <v>0.14341917397226078</v>
      </c>
      <c r="J23" s="388"/>
      <c r="K23" s="54"/>
      <c r="L23" s="54"/>
    </row>
    <row r="24" spans="8:19" ht="19.5" customHeight="1" x14ac:dyDescent="0.25">
      <c r="I24" s="54"/>
      <c r="J24" s="54"/>
      <c r="K24" s="54"/>
      <c r="L24" s="54"/>
    </row>
    <row r="25" spans="8:19" x14ac:dyDescent="0.25">
      <c r="H25" s="194"/>
      <c r="I25" s="198"/>
      <c r="J25" s="198"/>
    </row>
  </sheetData>
  <mergeCells count="37">
    <mergeCell ref="H11:H12"/>
    <mergeCell ref="I4:Q4"/>
    <mergeCell ref="O5:Q6"/>
    <mergeCell ref="N10:Q10"/>
    <mergeCell ref="L5:M5"/>
    <mergeCell ref="N5:N6"/>
    <mergeCell ref="H5:H6"/>
    <mergeCell ref="L7:M7"/>
    <mergeCell ref="K5:K6"/>
    <mergeCell ref="K11:L12"/>
    <mergeCell ref="W5:Y6"/>
    <mergeCell ref="J22:K22"/>
    <mergeCell ref="I23:J23"/>
    <mergeCell ref="L17:M17"/>
    <mergeCell ref="L21:L22"/>
    <mergeCell ref="Q19:R19"/>
    <mergeCell ref="L18:M18"/>
    <mergeCell ref="L8:M8"/>
    <mergeCell ref="I16:R16"/>
    <mergeCell ref="N21:Q21"/>
    <mergeCell ref="J21:K21"/>
    <mergeCell ref="X4:AD4"/>
    <mergeCell ref="H21:H22"/>
    <mergeCell ref="V10:V11"/>
    <mergeCell ref="X10:Y10"/>
    <mergeCell ref="X11:Y11"/>
    <mergeCell ref="Z10:Z11"/>
    <mergeCell ref="W12:X12"/>
    <mergeCell ref="I5:J6"/>
    <mergeCell ref="I19:J19"/>
    <mergeCell ref="I11:J11"/>
    <mergeCell ref="I12:J12"/>
    <mergeCell ref="I13:J13"/>
    <mergeCell ref="AA5:AB5"/>
    <mergeCell ref="AA7:AB7"/>
    <mergeCell ref="AC5:AC6"/>
    <mergeCell ref="AD5:AD6"/>
  </mergeCells>
  <pageMargins left="0.7" right="0.7" top="0.75" bottom="0.75" header="0.3" footer="0.3"/>
  <ignoredErrors>
    <ignoredError sqref="D4" formula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4753" r:id="rId3" name="Scroll Bar 1">
              <controlPr defaultSize="0" autoPict="0">
                <anchor moveWithCells="1">
                  <from>
                    <xdr:col>2</xdr:col>
                    <xdr:colOff>38100</xdr:colOff>
                    <xdr:row>2</xdr:row>
                    <xdr:rowOff>28575</xdr:rowOff>
                  </from>
                  <to>
                    <xdr:col>2</xdr:col>
                    <xdr:colOff>523875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6" r:id="rId4" name="Scroll Bar 4">
              <controlPr defaultSize="0" autoPict="0">
                <anchor moveWithCells="1">
                  <from>
                    <xdr:col>2</xdr:col>
                    <xdr:colOff>38100</xdr:colOff>
                    <xdr:row>3</xdr:row>
                    <xdr:rowOff>19050</xdr:rowOff>
                  </from>
                  <to>
                    <xdr:col>2</xdr:col>
                    <xdr:colOff>523875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7" r:id="rId5" name="Scroll Bar 5">
              <controlPr defaultSize="0" autoPict="0">
                <anchor moveWithCells="1">
                  <from>
                    <xdr:col>2</xdr:col>
                    <xdr:colOff>38100</xdr:colOff>
                    <xdr:row>4</xdr:row>
                    <xdr:rowOff>19050</xdr:rowOff>
                  </from>
                  <to>
                    <xdr:col>2</xdr:col>
                    <xdr:colOff>523875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8" r:id="rId6" name="Scroll Bar 6">
              <controlPr defaultSize="0" autoPict="0">
                <anchor moveWithCells="1">
                  <from>
                    <xdr:col>2</xdr:col>
                    <xdr:colOff>38100</xdr:colOff>
                    <xdr:row>5</xdr:row>
                    <xdr:rowOff>9525</xdr:rowOff>
                  </from>
                  <to>
                    <xdr:col>2</xdr:col>
                    <xdr:colOff>523875</xdr:colOff>
                    <xdr:row>5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8"/>
  <sheetViews>
    <sheetView showGridLines="0" topLeftCell="A3" zoomScaleNormal="100" workbookViewId="0">
      <selection activeCell="H27" sqref="H27"/>
    </sheetView>
  </sheetViews>
  <sheetFormatPr defaultRowHeight="15" x14ac:dyDescent="0.25"/>
  <cols>
    <col min="1" max="1" width="5.85546875" style="1" customWidth="1"/>
    <col min="2" max="2" width="17.42578125" style="1" customWidth="1"/>
    <col min="3" max="3" width="19.28515625" style="1" customWidth="1"/>
    <col min="4" max="4" width="15" style="1" customWidth="1"/>
    <col min="5" max="5" width="4.28515625" style="1" customWidth="1"/>
    <col min="6" max="6" width="0.85546875" style="1" customWidth="1"/>
    <col min="7" max="7" width="16.28515625" style="1" customWidth="1"/>
    <col min="8" max="8" width="14.140625" style="1" customWidth="1"/>
    <col min="9" max="9" width="6.42578125" style="1" customWidth="1"/>
    <col min="10" max="10" width="1.7109375" style="145" customWidth="1"/>
    <col min="11" max="11" width="2.85546875" style="1" customWidth="1"/>
    <col min="12" max="12" width="18.7109375" style="1" customWidth="1"/>
    <col min="13" max="13" width="1.7109375" style="145" customWidth="1"/>
    <col min="14" max="14" width="2.85546875" style="1" customWidth="1"/>
    <col min="15" max="15" width="19" style="1" customWidth="1"/>
    <col min="16" max="16" width="2.85546875" style="1" customWidth="1"/>
    <col min="17" max="17" width="11" style="1" customWidth="1"/>
    <col min="18" max="18" width="5.85546875" style="1" customWidth="1"/>
    <col min="19" max="16384" width="9.140625" style="1"/>
  </cols>
  <sheetData>
    <row r="1" spans="1:17" ht="19.5" customHeight="1" x14ac:dyDescent="0.25"/>
    <row r="2" spans="1:17" ht="18.75" x14ac:dyDescent="0.25">
      <c r="B2" s="20" t="s">
        <v>148</v>
      </c>
    </row>
    <row r="3" spans="1:17" ht="18" customHeight="1" x14ac:dyDescent="0.25">
      <c r="A3" s="36">
        <v>1000</v>
      </c>
      <c r="B3" s="15" t="s">
        <v>71</v>
      </c>
      <c r="C3" s="117"/>
      <c r="D3" s="17">
        <f>A3*-1000000</f>
        <v>-1000000000</v>
      </c>
      <c r="F3" s="14"/>
      <c r="G3" s="1" t="s">
        <v>126</v>
      </c>
    </row>
    <row r="4" spans="1:17" ht="18" x14ac:dyDescent="0.25">
      <c r="A4" s="36">
        <v>300</v>
      </c>
      <c r="B4" s="15" t="s">
        <v>146</v>
      </c>
      <c r="C4" s="177">
        <v>1</v>
      </c>
      <c r="D4" s="17">
        <f t="shared" ref="D4:D7" si="0">A4*1000000</f>
        <v>300000000</v>
      </c>
      <c r="G4" s="140" t="s">
        <v>13</v>
      </c>
      <c r="H4" s="139">
        <f>D3</f>
        <v>-1000000000</v>
      </c>
      <c r="I4" s="139"/>
    </row>
    <row r="5" spans="1:17" ht="18" x14ac:dyDescent="0.25">
      <c r="A5" s="36">
        <v>350</v>
      </c>
      <c r="B5" s="15"/>
      <c r="C5" s="177">
        <v>2</v>
      </c>
      <c r="D5" s="17">
        <f t="shared" si="0"/>
        <v>350000000</v>
      </c>
      <c r="G5" s="140" t="s">
        <v>14</v>
      </c>
      <c r="H5" s="139">
        <f>D4</f>
        <v>300000000</v>
      </c>
      <c r="I5" s="139"/>
    </row>
    <row r="6" spans="1:17" ht="18" x14ac:dyDescent="0.25">
      <c r="A6" s="36">
        <v>450</v>
      </c>
      <c r="B6" s="15"/>
      <c r="C6" s="177">
        <v>3</v>
      </c>
      <c r="D6" s="17">
        <f t="shared" si="0"/>
        <v>450000000</v>
      </c>
      <c r="G6" s="140" t="s">
        <v>15</v>
      </c>
      <c r="H6" s="139">
        <f t="shared" ref="H6:H8" si="1">D5</f>
        <v>350000000</v>
      </c>
      <c r="I6" s="139"/>
    </row>
    <row r="7" spans="1:17" ht="18" x14ac:dyDescent="0.25">
      <c r="A7" s="36">
        <v>500</v>
      </c>
      <c r="B7" s="15"/>
      <c r="C7" s="177">
        <v>4</v>
      </c>
      <c r="D7" s="17">
        <f t="shared" si="0"/>
        <v>500000000</v>
      </c>
      <c r="G7" s="140" t="s">
        <v>16</v>
      </c>
      <c r="H7" s="139">
        <f t="shared" si="1"/>
        <v>450000000</v>
      </c>
      <c r="I7" s="139"/>
    </row>
    <row r="8" spans="1:17" ht="18" x14ac:dyDescent="0.25">
      <c r="A8" s="36">
        <v>13</v>
      </c>
      <c r="B8" s="15" t="s">
        <v>147</v>
      </c>
      <c r="C8" s="117"/>
      <c r="D8" s="18">
        <f>A8/100</f>
        <v>0.13</v>
      </c>
      <c r="G8" s="140" t="s">
        <v>17</v>
      </c>
      <c r="H8" s="139">
        <f t="shared" si="1"/>
        <v>500000000</v>
      </c>
      <c r="I8" s="139"/>
    </row>
    <row r="9" spans="1:17" x14ac:dyDescent="0.25">
      <c r="B9" s="406" t="str">
        <f>"MIRR "&amp;TEXT(MIRR(D3:D7,D8,D8),"#,00%")&amp;IF(MIRR(D3:D7,D8,D8)," &gt; "," &lt; ")&amp;" biaya modal ("&amp;TEXT(D8,"#,00%")&amp;"), usulan investasi "&amp;IF(MIRR(D3:D7,D8,D8),"diterima","ditolak")</f>
        <v>MIRR 17,22% &gt;  biaya modal (13,00%), usulan investasi diterima</v>
      </c>
      <c r="C9" s="406"/>
      <c r="D9" s="406"/>
    </row>
    <row r="10" spans="1:17" x14ac:dyDescent="0.25">
      <c r="B10" s="407"/>
      <c r="C10" s="407"/>
      <c r="D10" s="407"/>
      <c r="F10" s="14"/>
      <c r="G10" s="1" t="s">
        <v>137</v>
      </c>
    </row>
    <row r="11" spans="1:17" ht="17.25" x14ac:dyDescent="0.25">
      <c r="G11" s="461">
        <f>D3</f>
        <v>-1000000000</v>
      </c>
      <c r="H11" s="459" t="str">
        <f>TEXT(H5,"#.000")&amp;" (1 + "&amp;TEXT(D8,"0,0##")&amp;")"</f>
        <v>300.000.000 (1 + 0,13)</v>
      </c>
      <c r="I11" s="459"/>
      <c r="J11" s="93">
        <v>3</v>
      </c>
      <c r="K11" s="144" t="s">
        <v>29</v>
      </c>
      <c r="L11" s="92" t="str">
        <f>TEXT(H6,"#.000")&amp;" (1 + "&amp;TEXT(D8,"0,0##")&amp;")"</f>
        <v>350.000.000 (1 + 0,13)</v>
      </c>
      <c r="M11" s="93">
        <v>2</v>
      </c>
      <c r="N11" s="144" t="s">
        <v>29</v>
      </c>
      <c r="O11" s="92" t="str">
        <f>TEXT(H7,"#.000")&amp;" (1 + "&amp;TEXT(D8,"0,0##")&amp;")"</f>
        <v>450.000.000 (1 + 0,13)</v>
      </c>
      <c r="P11" s="144" t="s">
        <v>29</v>
      </c>
      <c r="Q11" s="323">
        <f>D7</f>
        <v>500000000</v>
      </c>
    </row>
    <row r="12" spans="1:17" ht="17.25" x14ac:dyDescent="0.25">
      <c r="G12" s="461"/>
      <c r="H12" s="361" t="s">
        <v>138</v>
      </c>
      <c r="I12" s="361"/>
      <c r="J12" s="361"/>
      <c r="K12" s="361"/>
      <c r="L12" s="361"/>
      <c r="M12" s="361"/>
      <c r="N12" s="361"/>
      <c r="O12" s="361"/>
      <c r="P12" s="361"/>
      <c r="Q12" s="361"/>
    </row>
    <row r="13" spans="1:17" x14ac:dyDescent="0.25">
      <c r="G13" s="461">
        <f>G11</f>
        <v>-1000000000</v>
      </c>
      <c r="H13" s="462" t="str">
        <f>TEXT(H5*(1+D8)^3,"#.000")&amp;" + "&amp;TEXT(H6*(1+D8)^2,"#.000")&amp;" + "&amp;TEXT(H7*(1+D8),"#.000")&amp;" + "&amp;TEXT(Q11,"#.000")</f>
        <v>432.869.100 + 446.915.000 + 508.500.000 + 500.000.000</v>
      </c>
      <c r="I13" s="462"/>
      <c r="J13" s="462"/>
      <c r="K13" s="462"/>
      <c r="L13" s="462"/>
      <c r="M13" s="462"/>
      <c r="N13" s="462"/>
    </row>
    <row r="14" spans="1:17" ht="17.25" x14ac:dyDescent="0.25">
      <c r="G14" s="461"/>
      <c r="H14" s="356" t="s">
        <v>138</v>
      </c>
      <c r="I14" s="356"/>
      <c r="J14" s="356"/>
      <c r="K14" s="356"/>
      <c r="L14" s="356"/>
      <c r="M14" s="356"/>
      <c r="N14" s="356"/>
    </row>
    <row r="15" spans="1:17" x14ac:dyDescent="0.25">
      <c r="G15" s="461">
        <f>G11</f>
        <v>-1000000000</v>
      </c>
      <c r="H15" s="176">
        <f>H5*(1+D8)^3+H6*(1+D8)^2+H7*(1+D8)+D7</f>
        <v>1888284099.9999998</v>
      </c>
      <c r="I15" s="147"/>
    </row>
    <row r="16" spans="1:17" ht="17.25" x14ac:dyDescent="0.25">
      <c r="G16" s="461"/>
      <c r="H16" s="141" t="s">
        <v>138</v>
      </c>
      <c r="J16" s="1"/>
    </row>
    <row r="17" spans="6:9" ht="17.25" x14ac:dyDescent="0.25">
      <c r="G17" s="140" t="s">
        <v>139</v>
      </c>
      <c r="H17" s="147">
        <f>H15/G15</f>
        <v>-1.8882840999999997</v>
      </c>
      <c r="I17" s="147"/>
    </row>
    <row r="18" spans="6:9" ht="17.25" x14ac:dyDescent="0.25">
      <c r="G18" s="140" t="s">
        <v>140</v>
      </c>
      <c r="H18" s="147" t="str">
        <f>"log "&amp;TEXT(H17,"#,####")</f>
        <v>log -1,8883</v>
      </c>
      <c r="I18" s="147"/>
    </row>
    <row r="19" spans="6:9" x14ac:dyDescent="0.25">
      <c r="G19" s="140" t="s">
        <v>142</v>
      </c>
      <c r="H19" s="147">
        <f>LOG(-H17)</f>
        <v>0.27606733624388385</v>
      </c>
      <c r="I19" s="147"/>
    </row>
    <row r="20" spans="6:9" x14ac:dyDescent="0.25">
      <c r="G20" s="140" t="s">
        <v>141</v>
      </c>
      <c r="H20" s="147">
        <f>H19/4</f>
        <v>6.9016834060970964E-2</v>
      </c>
      <c r="I20" s="147"/>
    </row>
    <row r="21" spans="6:9" x14ac:dyDescent="0.25">
      <c r="G21" s="140" t="s">
        <v>143</v>
      </c>
      <c r="H21" s="178">
        <f>POWER(10,H20)</f>
        <v>1.1722408028988702</v>
      </c>
      <c r="I21" s="175" t="s">
        <v>222</v>
      </c>
    </row>
    <row r="22" spans="6:9" x14ac:dyDescent="0.25">
      <c r="G22" s="140" t="s">
        <v>144</v>
      </c>
      <c r="H22" s="1" t="str">
        <f>TEXT(H21,"#,0###")&amp;" - 1 "</f>
        <v xml:space="preserve">1,1722 - 1 </v>
      </c>
    </row>
    <row r="23" spans="6:9" x14ac:dyDescent="0.25">
      <c r="G23" s="140" t="s">
        <v>6</v>
      </c>
      <c r="H23" s="174">
        <f>H21-1</f>
        <v>0.17224080289887023</v>
      </c>
      <c r="I23" s="54"/>
    </row>
    <row r="24" spans="6:9" x14ac:dyDescent="0.25">
      <c r="G24" s="140" t="s">
        <v>6</v>
      </c>
      <c r="H24" s="149">
        <f>H23</f>
        <v>0.17224080289887023</v>
      </c>
      <c r="I24" s="54"/>
    </row>
    <row r="25" spans="6:9" x14ac:dyDescent="0.25">
      <c r="H25" s="54"/>
      <c r="I25" s="54"/>
    </row>
    <row r="26" spans="6:9" x14ac:dyDescent="0.25">
      <c r="F26" s="14"/>
      <c r="G26" s="1" t="s">
        <v>145</v>
      </c>
    </row>
    <row r="27" spans="6:9" x14ac:dyDescent="0.25">
      <c r="G27" s="140" t="s">
        <v>6</v>
      </c>
      <c r="H27" s="148">
        <f>MIRR(H4:H8,D8,D8)</f>
        <v>0.17224080289887023</v>
      </c>
      <c r="I27" s="198" t="s">
        <v>223</v>
      </c>
    </row>
    <row r="28" spans="6:9" ht="19.5" customHeight="1" x14ac:dyDescent="0.25"/>
  </sheetData>
  <mergeCells count="8">
    <mergeCell ref="G15:G16"/>
    <mergeCell ref="B9:D10"/>
    <mergeCell ref="G11:G12"/>
    <mergeCell ref="G13:G14"/>
    <mergeCell ref="H11:I11"/>
    <mergeCell ref="H12:Q12"/>
    <mergeCell ref="H13:N13"/>
    <mergeCell ref="H14:N1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69" r:id="rId3" name="Scroll Bar 1">
              <controlPr defaultSize="0" autoPict="0">
                <anchor moveWithCells="1">
                  <from>
                    <xdr:col>2</xdr:col>
                    <xdr:colOff>733425</xdr:colOff>
                    <xdr:row>2</xdr:row>
                    <xdr:rowOff>38100</xdr:rowOff>
                  </from>
                  <to>
                    <xdr:col>2</xdr:col>
                    <xdr:colOff>1219200</xdr:colOff>
                    <xdr:row>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0" r:id="rId4" name="Scroll Bar 2">
              <controlPr defaultSize="0" autoPict="0">
                <anchor moveWithCells="1">
                  <from>
                    <xdr:col>2</xdr:col>
                    <xdr:colOff>733425</xdr:colOff>
                    <xdr:row>3</xdr:row>
                    <xdr:rowOff>28575</xdr:rowOff>
                  </from>
                  <to>
                    <xdr:col>2</xdr:col>
                    <xdr:colOff>1219200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1" r:id="rId5" name="Scroll Bar 3">
              <controlPr defaultSize="0" autoPict="0">
                <anchor moveWithCells="1">
                  <from>
                    <xdr:col>2</xdr:col>
                    <xdr:colOff>733425</xdr:colOff>
                    <xdr:row>4</xdr:row>
                    <xdr:rowOff>28575</xdr:rowOff>
                  </from>
                  <to>
                    <xdr:col>2</xdr:col>
                    <xdr:colOff>1219200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2" r:id="rId6" name="Scroll Bar 4">
              <controlPr defaultSize="0" autoPict="0">
                <anchor moveWithCells="1">
                  <from>
                    <xdr:col>2</xdr:col>
                    <xdr:colOff>733425</xdr:colOff>
                    <xdr:row>5</xdr:row>
                    <xdr:rowOff>28575</xdr:rowOff>
                  </from>
                  <to>
                    <xdr:col>2</xdr:col>
                    <xdr:colOff>1219200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3" r:id="rId7" name="Scroll Bar 5">
              <controlPr defaultSize="0" autoPict="0">
                <anchor moveWithCells="1">
                  <from>
                    <xdr:col>2</xdr:col>
                    <xdr:colOff>733425</xdr:colOff>
                    <xdr:row>6</xdr:row>
                    <xdr:rowOff>28575</xdr:rowOff>
                  </from>
                  <to>
                    <xdr:col>2</xdr:col>
                    <xdr:colOff>1219200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4" r:id="rId8" name="Scroll Bar 6">
              <controlPr defaultSize="0" autoPict="0">
                <anchor moveWithCells="1">
                  <from>
                    <xdr:col>2</xdr:col>
                    <xdr:colOff>733425</xdr:colOff>
                    <xdr:row>7</xdr:row>
                    <xdr:rowOff>19050</xdr:rowOff>
                  </from>
                  <to>
                    <xdr:col>2</xdr:col>
                    <xdr:colOff>1219200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28"/>
  <sheetViews>
    <sheetView showGridLines="0" zoomScaleNormal="100" workbookViewId="0">
      <selection activeCell="B14" sqref="B14:F14"/>
    </sheetView>
  </sheetViews>
  <sheetFormatPr defaultRowHeight="15" x14ac:dyDescent="0.25"/>
  <cols>
    <col min="1" max="1" width="5.85546875" style="263" customWidth="1"/>
    <col min="2" max="2" width="10.42578125" style="263" customWidth="1"/>
    <col min="3" max="3" width="16.42578125" style="263" customWidth="1"/>
    <col min="4" max="4" width="13.5703125" style="263" customWidth="1"/>
    <col min="5" max="5" width="21.28515625" style="263" customWidth="1"/>
    <col min="6" max="6" width="14.42578125" style="263" customWidth="1"/>
    <col min="7" max="7" width="4.28515625" style="263" customWidth="1"/>
    <col min="8" max="8" width="0.85546875" style="263" customWidth="1"/>
    <col min="9" max="9" width="3" style="263" customWidth="1"/>
    <col min="10" max="10" width="6.7109375" style="263" customWidth="1"/>
    <col min="11" max="11" width="12" style="263" customWidth="1"/>
    <col min="12" max="12" width="6" style="263" customWidth="1"/>
    <col min="13" max="17" width="13.140625" style="263" customWidth="1"/>
    <col min="18" max="18" width="5.85546875" style="263" customWidth="1"/>
    <col min="19" max="19" width="14" style="263" customWidth="1"/>
    <col min="20" max="20" width="12.42578125" style="263" customWidth="1"/>
    <col min="21" max="21" width="12" style="263" customWidth="1"/>
    <col min="22" max="16384" width="9.140625" style="263"/>
  </cols>
  <sheetData>
    <row r="1" spans="1:21" ht="19.5" customHeight="1" x14ac:dyDescent="0.25"/>
    <row r="2" spans="1:21" ht="18.75" customHeight="1" x14ac:dyDescent="0.25">
      <c r="B2" s="234" t="s">
        <v>241</v>
      </c>
      <c r="C2" s="234"/>
      <c r="D2" s="264"/>
      <c r="E2" s="264"/>
      <c r="F2" s="264"/>
    </row>
    <row r="3" spans="1:21" ht="16.5" customHeight="1" x14ac:dyDescent="0.25">
      <c r="B3" s="215" t="s">
        <v>71</v>
      </c>
      <c r="C3" s="272"/>
      <c r="D3" s="273">
        <f>SUM(D4:D5)</f>
        <v>500000000</v>
      </c>
      <c r="H3" s="276"/>
      <c r="I3" s="263" t="s">
        <v>230</v>
      </c>
    </row>
    <row r="4" spans="1:21" ht="16.5" customHeight="1" x14ac:dyDescent="0.25">
      <c r="A4" s="265">
        <v>400</v>
      </c>
      <c r="B4" s="215" t="s">
        <v>122</v>
      </c>
      <c r="C4" s="272"/>
      <c r="D4" s="273">
        <f>A4*1000000</f>
        <v>400000000</v>
      </c>
      <c r="E4" s="280" t="s">
        <v>229</v>
      </c>
      <c r="H4" s="265"/>
      <c r="I4" s="265"/>
      <c r="J4" s="215" t="s">
        <v>194</v>
      </c>
      <c r="K4" s="215"/>
      <c r="L4" s="215"/>
      <c r="M4" s="297">
        <f>E5</f>
        <v>1</v>
      </c>
      <c r="N4" s="297">
        <v>2</v>
      </c>
      <c r="O4" s="297">
        <v>3</v>
      </c>
      <c r="P4" s="297">
        <v>4</v>
      </c>
      <c r="Q4" s="292">
        <v>5</v>
      </c>
    </row>
    <row r="5" spans="1:21" ht="16.5" customHeight="1" x14ac:dyDescent="0.25">
      <c r="A5" s="265">
        <v>100</v>
      </c>
      <c r="B5" s="215" t="s">
        <v>120</v>
      </c>
      <c r="C5" s="272"/>
      <c r="D5" s="273">
        <f>A5*1000000</f>
        <v>100000000</v>
      </c>
      <c r="E5" s="277">
        <v>1</v>
      </c>
      <c r="F5" s="279">
        <f>G5*1000000</f>
        <v>175000000</v>
      </c>
      <c r="G5" s="265">
        <v>175</v>
      </c>
      <c r="H5" s="265"/>
      <c r="I5" s="265"/>
      <c r="J5" s="466" t="s">
        <v>231</v>
      </c>
      <c r="K5" s="466"/>
      <c r="L5" s="467"/>
      <c r="M5" s="298"/>
      <c r="N5" s="298"/>
      <c r="O5" s="298"/>
      <c r="P5" s="298"/>
      <c r="Q5" s="293"/>
    </row>
    <row r="6" spans="1:21" ht="16.5" customHeight="1" x14ac:dyDescent="0.25">
      <c r="A6" s="265">
        <v>50</v>
      </c>
      <c r="B6" s="215" t="s">
        <v>121</v>
      </c>
      <c r="C6" s="272"/>
      <c r="D6" s="273">
        <f>A6*1000000</f>
        <v>50000000</v>
      </c>
      <c r="E6" s="277">
        <v>2</v>
      </c>
      <c r="F6" s="279">
        <f>G6*1000000</f>
        <v>200000000</v>
      </c>
      <c r="G6" s="265">
        <v>200</v>
      </c>
      <c r="H6" s="265"/>
      <c r="I6" s="265"/>
      <c r="J6" s="466"/>
      <c r="K6" s="466"/>
      <c r="L6" s="467"/>
      <c r="M6" s="299">
        <f>F5</f>
        <v>175000000</v>
      </c>
      <c r="N6" s="299">
        <f>F6</f>
        <v>200000000</v>
      </c>
      <c r="O6" s="299">
        <f>F7</f>
        <v>225000000</v>
      </c>
      <c r="P6" s="299">
        <f>F8</f>
        <v>250000000</v>
      </c>
      <c r="Q6" s="294">
        <f>F9</f>
        <v>225000000</v>
      </c>
    </row>
    <row r="7" spans="1:21" ht="16.5" customHeight="1" x14ac:dyDescent="0.25">
      <c r="A7" s="265"/>
      <c r="B7" s="215" t="s">
        <v>224</v>
      </c>
      <c r="C7" s="272"/>
      <c r="D7" s="274">
        <v>5</v>
      </c>
      <c r="E7" s="277">
        <v>3</v>
      </c>
      <c r="F7" s="279">
        <f>G7*1000000</f>
        <v>225000000</v>
      </c>
      <c r="G7" s="265">
        <v>225</v>
      </c>
      <c r="H7" s="265"/>
      <c r="I7" s="265"/>
      <c r="J7" s="215" t="s">
        <v>232</v>
      </c>
      <c r="K7" s="215"/>
      <c r="L7" s="215"/>
      <c r="M7" s="299">
        <f>IF($G12=1,SLN($D11,$D12,$D13),SYD($D11,$D12,$D13,M4))</f>
        <v>70000000</v>
      </c>
      <c r="N7" s="299">
        <f>IF($G12=1,SLN($D11,$D12,$D13),SYD($D11,$D12,$D13,N4))</f>
        <v>70000000</v>
      </c>
      <c r="O7" s="299">
        <f>IF($G12=1,SLN($D11,$D12,$D13),SYD($D11,$D12,$D13,O4))</f>
        <v>70000000</v>
      </c>
      <c r="P7" s="299">
        <f>IF($G12=1,SLN($D11,$D12,$D13),SYD($D11,$D12,$D13,P4))</f>
        <v>70000000</v>
      </c>
      <c r="Q7" s="294">
        <f>IF($G12=1,SLN($D11,$D12,$D13),SYD($D11,$D12,$D13,Q4))</f>
        <v>70000000</v>
      </c>
    </row>
    <row r="8" spans="1:21" ht="16.5" customHeight="1" x14ac:dyDescent="0.25">
      <c r="A8" s="265">
        <v>20</v>
      </c>
      <c r="B8" s="215" t="s">
        <v>228</v>
      </c>
      <c r="C8" s="272"/>
      <c r="D8" s="275">
        <f>A8/100</f>
        <v>0.2</v>
      </c>
      <c r="E8" s="277">
        <v>4</v>
      </c>
      <c r="F8" s="279">
        <f>G8*1000000</f>
        <v>250000000</v>
      </c>
      <c r="G8" s="265">
        <v>250</v>
      </c>
      <c r="H8" s="265"/>
      <c r="I8" s="265"/>
      <c r="J8" s="215" t="s">
        <v>233</v>
      </c>
      <c r="K8" s="215"/>
      <c r="L8" s="215"/>
      <c r="M8" s="300">
        <f>M6-M7</f>
        <v>105000000</v>
      </c>
      <c r="N8" s="300">
        <f t="shared" ref="N8:Q8" si="0">N6-N7</f>
        <v>130000000</v>
      </c>
      <c r="O8" s="300">
        <f t="shared" si="0"/>
        <v>155000000</v>
      </c>
      <c r="P8" s="300">
        <f t="shared" si="0"/>
        <v>180000000</v>
      </c>
      <c r="Q8" s="295">
        <f t="shared" si="0"/>
        <v>155000000</v>
      </c>
    </row>
    <row r="9" spans="1:21" ht="16.5" customHeight="1" x14ac:dyDescent="0.25">
      <c r="A9" s="265">
        <v>40</v>
      </c>
      <c r="B9" s="215" t="s">
        <v>238</v>
      </c>
      <c r="C9" s="283"/>
      <c r="D9" s="275">
        <f>A9/100</f>
        <v>0.4</v>
      </c>
      <c r="E9" s="278">
        <v>5</v>
      </c>
      <c r="F9" s="279">
        <f>G9*1000000</f>
        <v>225000000</v>
      </c>
      <c r="G9" s="265">
        <v>225</v>
      </c>
      <c r="J9" s="215" t="str">
        <f>"Pajak ("&amp;TEXT(D8,"#%)")</f>
        <v>Pajak (20%)</v>
      </c>
      <c r="K9" s="215"/>
      <c r="L9" s="215"/>
      <c r="M9" s="301">
        <f>M8*$D8</f>
        <v>21000000</v>
      </c>
      <c r="N9" s="301">
        <f t="shared" ref="N9:Q9" si="1">N8*$D8</f>
        <v>26000000</v>
      </c>
      <c r="O9" s="301">
        <f t="shared" si="1"/>
        <v>31000000</v>
      </c>
      <c r="P9" s="301">
        <f t="shared" si="1"/>
        <v>36000000</v>
      </c>
      <c r="Q9" s="296">
        <f t="shared" si="1"/>
        <v>31000000</v>
      </c>
    </row>
    <row r="10" spans="1:21" ht="16.5" customHeight="1" x14ac:dyDescent="0.25">
      <c r="B10" s="468" t="s">
        <v>225</v>
      </c>
      <c r="C10" s="468"/>
      <c r="D10" s="468"/>
      <c r="E10" s="468"/>
      <c r="F10" s="468"/>
      <c r="H10" s="266"/>
      <c r="I10" s="266"/>
      <c r="J10" s="215" t="s">
        <v>237</v>
      </c>
      <c r="K10" s="215"/>
      <c r="L10" s="215"/>
      <c r="M10" s="299">
        <f>M8-M9</f>
        <v>84000000</v>
      </c>
      <c r="N10" s="299">
        <f t="shared" ref="N10:Q10" si="2">N8-N9</f>
        <v>104000000</v>
      </c>
      <c r="O10" s="299">
        <f t="shared" si="2"/>
        <v>124000000</v>
      </c>
      <c r="P10" s="299">
        <f t="shared" si="2"/>
        <v>144000000</v>
      </c>
      <c r="Q10" s="294">
        <f t="shared" si="2"/>
        <v>124000000</v>
      </c>
      <c r="R10" s="271"/>
    </row>
    <row r="11" spans="1:21" ht="16.5" customHeight="1" x14ac:dyDescent="0.25">
      <c r="B11" s="304" t="s">
        <v>226</v>
      </c>
      <c r="C11" s="334"/>
      <c r="D11" s="335">
        <f>D4</f>
        <v>400000000</v>
      </c>
      <c r="E11" s="469" t="s">
        <v>234</v>
      </c>
      <c r="F11" s="470"/>
      <c r="H11" s="267"/>
      <c r="I11" s="267"/>
      <c r="J11" s="267"/>
      <c r="K11" s="267"/>
      <c r="L11" s="267"/>
      <c r="M11" s="267"/>
      <c r="N11" s="267"/>
      <c r="O11" s="267"/>
      <c r="P11" s="267"/>
      <c r="Q11" s="267"/>
      <c r="R11" s="267"/>
    </row>
    <row r="12" spans="1:21" ht="16.5" customHeight="1" x14ac:dyDescent="0.25">
      <c r="B12" s="215" t="s">
        <v>121</v>
      </c>
      <c r="C12" s="281"/>
      <c r="D12" s="282">
        <f>D6</f>
        <v>50000000</v>
      </c>
      <c r="E12" s="285" t="s">
        <v>236</v>
      </c>
      <c r="F12" s="284"/>
      <c r="G12" s="265">
        <v>1</v>
      </c>
      <c r="H12" s="287"/>
      <c r="I12" s="280" t="s">
        <v>239</v>
      </c>
      <c r="J12" s="269"/>
      <c r="K12" s="269"/>
      <c r="L12" s="269"/>
      <c r="M12" s="269"/>
      <c r="N12" s="269"/>
      <c r="O12" s="267"/>
      <c r="P12" s="267"/>
      <c r="Q12" s="267"/>
      <c r="R12" s="267"/>
    </row>
    <row r="13" spans="1:21" x14ac:dyDescent="0.25">
      <c r="B13" s="305" t="s">
        <v>227</v>
      </c>
      <c r="C13" s="336"/>
      <c r="D13" s="337">
        <f>D7</f>
        <v>5</v>
      </c>
      <c r="E13" s="338" t="s">
        <v>235</v>
      </c>
      <c r="F13" s="339"/>
      <c r="J13" s="463" t="s">
        <v>6</v>
      </c>
      <c r="K13" s="289" t="str">
        <f>TEXT(M10,"#.000 + ")&amp;TEXT(N10,"#.000 + ")&amp;TEXT(O10,"#.000 + ")&amp;TEXT(P10,"#.000 + ")&amp;TEXT(Q10,"#.000")</f>
        <v>84.000.000 + 104.000.000 + 124.000.000 + 144.000.000 + 124.000.000</v>
      </c>
      <c r="L13" s="289"/>
      <c r="M13" s="290"/>
      <c r="N13" s="290"/>
      <c r="O13" s="290"/>
    </row>
    <row r="14" spans="1:21" x14ac:dyDescent="0.25">
      <c r="B14" s="471" t="str">
        <f>"RRA "&amp;TEXT(AVERAGE(M10:Q10)/(D3/2),"#,00%")&amp;IF(AVERAGE(M10:Q10)/(D3/2)&gt;D9," &gt; "," &lt; ")&amp;" batas penerimaan ("&amp;TEXT(D9,"#,00%")&amp;"), usulan investasi proyek "&amp;IF(AVERAGE(M10:Q10)/(D3/2)&gt;D9,"diterima","ditolak")</f>
        <v>RRA 46,40% &gt;  batas penerimaan (40,00%), usulan investasi proyek diterima</v>
      </c>
      <c r="C14" s="471"/>
      <c r="D14" s="471"/>
      <c r="E14" s="471"/>
      <c r="F14" s="471"/>
      <c r="J14" s="463"/>
      <c r="K14" s="464">
        <f>D7</f>
        <v>5</v>
      </c>
      <c r="L14" s="465"/>
      <c r="M14" s="465"/>
      <c r="N14" s="465"/>
      <c r="O14" s="465"/>
    </row>
    <row r="15" spans="1:21" ht="16.5" customHeight="1" x14ac:dyDescent="0.25">
      <c r="J15" s="288" t="s">
        <v>6</v>
      </c>
      <c r="K15" s="291">
        <f>AVERAGE(M10:Q10)</f>
        <v>116000000</v>
      </c>
      <c r="L15" s="291"/>
      <c r="M15" s="348"/>
      <c r="U15" s="268"/>
    </row>
    <row r="16" spans="1:21" x14ac:dyDescent="0.25">
      <c r="B16" s="333"/>
      <c r="C16" s="333"/>
      <c r="D16" s="333"/>
      <c r="E16" s="333"/>
      <c r="F16" s="333"/>
      <c r="U16" s="268"/>
    </row>
    <row r="17" spans="2:21" x14ac:dyDescent="0.25">
      <c r="B17" s="332"/>
      <c r="H17" s="276"/>
      <c r="I17" s="263" t="s">
        <v>240</v>
      </c>
      <c r="U17" s="268"/>
    </row>
    <row r="18" spans="2:21" x14ac:dyDescent="0.25">
      <c r="B18" s="332"/>
      <c r="J18" s="288" t="s">
        <v>6</v>
      </c>
      <c r="K18" s="263" t="str">
        <f>"("&amp;TEXT(D3,"#.000 + ")&amp;" 0) / 2"</f>
        <v>(500.000.000 +  0) / 2</v>
      </c>
      <c r="S18" s="268"/>
      <c r="T18" s="268"/>
      <c r="U18" s="268"/>
    </row>
    <row r="19" spans="2:21" x14ac:dyDescent="0.25">
      <c r="J19" s="288" t="s">
        <v>6</v>
      </c>
      <c r="K19" s="291">
        <f>D3/2</f>
        <v>250000000</v>
      </c>
      <c r="L19" s="291"/>
      <c r="S19" s="270"/>
      <c r="T19" s="270"/>
      <c r="U19" s="270"/>
    </row>
    <row r="20" spans="2:21" x14ac:dyDescent="0.25">
      <c r="S20" s="270"/>
      <c r="T20" s="270"/>
      <c r="U20" s="270"/>
    </row>
    <row r="21" spans="2:21" ht="15" customHeight="1" x14ac:dyDescent="0.25">
      <c r="B21" s="271"/>
      <c r="C21" s="271"/>
      <c r="H21" s="276"/>
      <c r="I21" s="263" t="s">
        <v>246</v>
      </c>
      <c r="S21" s="270"/>
      <c r="T21" s="270"/>
      <c r="U21" s="270"/>
    </row>
    <row r="22" spans="2:21" x14ac:dyDescent="0.25">
      <c r="J22" s="463" t="s">
        <v>6</v>
      </c>
      <c r="K22" s="289">
        <f>K15</f>
        <v>116000000</v>
      </c>
      <c r="S22" s="270"/>
      <c r="T22" s="270"/>
      <c r="U22" s="270"/>
    </row>
    <row r="23" spans="2:21" x14ac:dyDescent="0.25">
      <c r="J23" s="463"/>
      <c r="K23" s="286">
        <f>K19</f>
        <v>250000000</v>
      </c>
      <c r="S23" s="270"/>
      <c r="T23" s="270"/>
      <c r="U23" s="270"/>
    </row>
    <row r="24" spans="2:21" x14ac:dyDescent="0.25">
      <c r="J24" s="288" t="s">
        <v>6</v>
      </c>
      <c r="K24" s="302">
        <f>K22/K23</f>
        <v>0.46400000000000002</v>
      </c>
      <c r="S24" s="270"/>
      <c r="T24" s="270"/>
      <c r="U24" s="270"/>
    </row>
    <row r="26" spans="2:21" x14ac:dyDescent="0.25">
      <c r="H26" s="276"/>
      <c r="I26" s="263" t="s">
        <v>59</v>
      </c>
    </row>
    <row r="27" spans="2:21" x14ac:dyDescent="0.25">
      <c r="J27" s="303" t="str">
        <f>"RRA "&amp;IF(K24&gt;D9,"&gt; ","&lt; ")&amp;" batas penerimaan (persyaratan), proyek "&amp;IF(K24&gt;D9,"diterima","ditolak")</f>
        <v>RRA &gt;  batas penerimaan (persyaratan), proyek diterima</v>
      </c>
    </row>
    <row r="28" spans="2:21" ht="19.5" customHeight="1" x14ac:dyDescent="0.25"/>
  </sheetData>
  <mergeCells count="7">
    <mergeCell ref="J22:J23"/>
    <mergeCell ref="K14:O14"/>
    <mergeCell ref="J5:L6"/>
    <mergeCell ref="B10:F10"/>
    <mergeCell ref="E11:F11"/>
    <mergeCell ref="J13:J14"/>
    <mergeCell ref="B14:F14"/>
  </mergeCells>
  <printOptions horizontalCentered="1"/>
  <pageMargins left="0.74803149606299213" right="0.74803149606299213" top="0.98425196850393704" bottom="0.98425196850393704" header="0.51181102362204722" footer="0.51181102362204722"/>
  <pageSetup orientation="portrait" horizontalDpi="300" verticalDpi="0" r:id="rId1"/>
  <headerFooter alignWithMargins="0"/>
  <ignoredErrors>
    <ignoredError sqref="M9:Q9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9876" r:id="rId4" name="Scroll Bar 4">
              <controlPr defaultSize="0" autoPict="0">
                <anchor moveWithCells="1">
                  <from>
                    <xdr:col>2</xdr:col>
                    <xdr:colOff>523875</xdr:colOff>
                    <xdr:row>3</xdr:row>
                    <xdr:rowOff>19050</xdr:rowOff>
                  </from>
                  <to>
                    <xdr:col>2</xdr:col>
                    <xdr:colOff>981075</xdr:colOff>
                    <xdr:row>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77" r:id="rId5" name="Scroll Bar 5">
              <controlPr defaultSize="0" autoPict="0">
                <anchor moveWithCells="1">
                  <from>
                    <xdr:col>2</xdr:col>
                    <xdr:colOff>523875</xdr:colOff>
                    <xdr:row>4</xdr:row>
                    <xdr:rowOff>19050</xdr:rowOff>
                  </from>
                  <to>
                    <xdr:col>2</xdr:col>
                    <xdr:colOff>981075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78" r:id="rId6" name="Scroll Bar 6">
              <controlPr defaultSize="0" autoPict="0">
                <anchor moveWithCells="1">
                  <from>
                    <xdr:col>2</xdr:col>
                    <xdr:colOff>523875</xdr:colOff>
                    <xdr:row>5</xdr:row>
                    <xdr:rowOff>19050</xdr:rowOff>
                  </from>
                  <to>
                    <xdr:col>2</xdr:col>
                    <xdr:colOff>981075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79" r:id="rId7" name="Scroll Bar 7">
              <controlPr defaultSize="0" autoPict="0">
                <anchor moveWithCells="1">
                  <from>
                    <xdr:col>2</xdr:col>
                    <xdr:colOff>523875</xdr:colOff>
                    <xdr:row>7</xdr:row>
                    <xdr:rowOff>19050</xdr:rowOff>
                  </from>
                  <to>
                    <xdr:col>2</xdr:col>
                    <xdr:colOff>981075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83" r:id="rId8" name="Scroll Bar 11">
              <controlPr defaultSize="0" autoPict="0">
                <anchor moveWithCells="1">
                  <from>
                    <xdr:col>4</xdr:col>
                    <xdr:colOff>904875</xdr:colOff>
                    <xdr:row>4</xdr:row>
                    <xdr:rowOff>28575</xdr:rowOff>
                  </from>
                  <to>
                    <xdr:col>4</xdr:col>
                    <xdr:colOff>1362075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84" r:id="rId9" name="Scroll Bar 12">
              <controlPr defaultSize="0" autoPict="0">
                <anchor moveWithCells="1">
                  <from>
                    <xdr:col>4</xdr:col>
                    <xdr:colOff>904875</xdr:colOff>
                    <xdr:row>5</xdr:row>
                    <xdr:rowOff>28575</xdr:rowOff>
                  </from>
                  <to>
                    <xdr:col>4</xdr:col>
                    <xdr:colOff>1362075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85" r:id="rId10" name="Scroll Bar 13">
              <controlPr defaultSize="0" autoPict="0">
                <anchor moveWithCells="1">
                  <from>
                    <xdr:col>4</xdr:col>
                    <xdr:colOff>904875</xdr:colOff>
                    <xdr:row>6</xdr:row>
                    <xdr:rowOff>28575</xdr:rowOff>
                  </from>
                  <to>
                    <xdr:col>4</xdr:col>
                    <xdr:colOff>1362075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86" r:id="rId11" name="Scroll Bar 14">
              <controlPr defaultSize="0" autoPict="0">
                <anchor moveWithCells="1">
                  <from>
                    <xdr:col>4</xdr:col>
                    <xdr:colOff>904875</xdr:colOff>
                    <xdr:row>7</xdr:row>
                    <xdr:rowOff>28575</xdr:rowOff>
                  </from>
                  <to>
                    <xdr:col>4</xdr:col>
                    <xdr:colOff>1362075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87" r:id="rId12" name="Scroll Bar 15">
              <controlPr defaultSize="0" autoPict="0">
                <anchor moveWithCells="1">
                  <from>
                    <xdr:col>4</xdr:col>
                    <xdr:colOff>904875</xdr:colOff>
                    <xdr:row>8</xdr:row>
                    <xdr:rowOff>28575</xdr:rowOff>
                  </from>
                  <to>
                    <xdr:col>4</xdr:col>
                    <xdr:colOff>1362075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90" r:id="rId13" name="Option Button 18">
              <controlPr defaultSize="0" autoFill="0" autoLine="0" autoPict="0">
                <anchor moveWithCells="1">
                  <from>
                    <xdr:col>4</xdr:col>
                    <xdr:colOff>409575</xdr:colOff>
                    <xdr:row>10</xdr:row>
                    <xdr:rowOff>200025</xdr:rowOff>
                  </from>
                  <to>
                    <xdr:col>4</xdr:col>
                    <xdr:colOff>714375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91" r:id="rId14" name="Option Button 19">
              <controlPr defaultSize="0" autoFill="0" autoLine="0" autoPict="0">
                <anchor moveWithCells="1">
                  <from>
                    <xdr:col>4</xdr:col>
                    <xdr:colOff>409575</xdr:colOff>
                    <xdr:row>11</xdr:row>
                    <xdr:rowOff>190500</xdr:rowOff>
                  </from>
                  <to>
                    <xdr:col>4</xdr:col>
                    <xdr:colOff>714375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92" r:id="rId15" name="Scroll Bar 20">
              <controlPr defaultSize="0" autoPict="0">
                <anchor moveWithCells="1">
                  <from>
                    <xdr:col>2</xdr:col>
                    <xdr:colOff>523875</xdr:colOff>
                    <xdr:row>8</xdr:row>
                    <xdr:rowOff>19050</xdr:rowOff>
                  </from>
                  <to>
                    <xdr:col>2</xdr:col>
                    <xdr:colOff>981075</xdr:colOff>
                    <xdr:row>8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6"/>
  <sheetViews>
    <sheetView showGridLines="0" topLeftCell="A16" zoomScale="96" zoomScaleNormal="96" workbookViewId="0">
      <selection activeCell="B15" sqref="B15:D16"/>
    </sheetView>
  </sheetViews>
  <sheetFormatPr defaultRowHeight="15" x14ac:dyDescent="0.25"/>
  <cols>
    <col min="1" max="1" width="5.85546875" style="1" customWidth="1"/>
    <col min="2" max="2" width="9.42578125" style="1" customWidth="1"/>
    <col min="3" max="3" width="19.28515625" style="1" customWidth="1"/>
    <col min="4" max="4" width="15.140625" style="1" customWidth="1"/>
    <col min="5" max="5" width="4.28515625" style="1" customWidth="1"/>
    <col min="6" max="6" width="0.85546875" style="1" customWidth="1"/>
    <col min="7" max="7" width="7.85546875" style="1" customWidth="1"/>
    <col min="8" max="8" width="5" style="1" customWidth="1"/>
    <col min="9" max="9" width="2.7109375" style="1" customWidth="1"/>
    <col min="10" max="10" width="5.28515625" style="1" customWidth="1"/>
    <col min="11" max="11" width="2.28515625" style="1" customWidth="1"/>
    <col min="12" max="12" width="5.5703125" style="1" customWidth="1"/>
    <col min="13" max="13" width="3" style="1" customWidth="1"/>
    <col min="14" max="14" width="1" style="1" customWidth="1"/>
    <col min="15" max="15" width="2.42578125" style="1" customWidth="1"/>
    <col min="16" max="16" width="2.28515625" style="1" customWidth="1"/>
    <col min="17" max="17" width="2.85546875" style="1" customWidth="1"/>
    <col min="18" max="18" width="5.42578125" style="1" customWidth="1"/>
    <col min="19" max="19" width="3.140625" style="1" customWidth="1"/>
    <col min="20" max="20" width="2.28515625" style="1" customWidth="1"/>
    <col min="21" max="21" width="9.5703125" style="1" customWidth="1"/>
    <col min="22" max="22" width="2.140625" style="1" customWidth="1"/>
    <col min="23" max="23" width="2.28515625" style="1" customWidth="1"/>
    <col min="24" max="24" width="9.5703125" style="1" customWidth="1"/>
    <col min="25" max="25" width="2.140625" style="1" customWidth="1"/>
    <col min="26" max="26" width="14" style="1" customWidth="1"/>
    <col min="27" max="27" width="5.85546875" style="1" customWidth="1"/>
    <col min="28" max="16384" width="9.140625" style="1"/>
  </cols>
  <sheetData>
    <row r="1" spans="1:26" ht="19.5" customHeight="1" x14ac:dyDescent="0.25"/>
    <row r="2" spans="1:26" ht="18.75" x14ac:dyDescent="0.25">
      <c r="B2" s="20" t="s">
        <v>114</v>
      </c>
    </row>
    <row r="3" spans="1:26" ht="18" customHeight="1" x14ac:dyDescent="0.25">
      <c r="A3" s="36">
        <v>1500</v>
      </c>
      <c r="B3" s="30" t="s">
        <v>152</v>
      </c>
      <c r="C3" s="31"/>
      <c r="D3" s="34">
        <f>A3*1000000</f>
        <v>1500000000</v>
      </c>
      <c r="F3" s="14"/>
      <c r="G3" s="1" t="s">
        <v>3</v>
      </c>
    </row>
    <row r="4" spans="1:26" ht="18" customHeight="1" x14ac:dyDescent="0.25">
      <c r="A4" s="36">
        <v>400</v>
      </c>
      <c r="B4" s="30" t="s">
        <v>153</v>
      </c>
      <c r="C4" s="180">
        <v>1</v>
      </c>
      <c r="D4" s="34">
        <f>A4*1000000</f>
        <v>400000000</v>
      </c>
      <c r="G4" s="161" t="s">
        <v>13</v>
      </c>
      <c r="H4" s="349">
        <f>D3</f>
        <v>1500000000</v>
      </c>
      <c r="I4" s="349"/>
      <c r="J4" s="349"/>
    </row>
    <row r="5" spans="1:26" ht="18" customHeight="1" x14ac:dyDescent="0.25">
      <c r="A5" s="36">
        <v>525</v>
      </c>
      <c r="B5" s="32"/>
      <c r="C5" s="180">
        <v>2</v>
      </c>
      <c r="D5" s="34">
        <f t="shared" ref="D5:D8" si="0">A5*1000000</f>
        <v>525000000</v>
      </c>
      <c r="G5" s="161" t="s">
        <v>14</v>
      </c>
      <c r="H5" s="349">
        <f t="shared" ref="H5:H10" si="1">D4</f>
        <v>400000000</v>
      </c>
      <c r="I5" s="349"/>
      <c r="J5" s="349"/>
    </row>
    <row r="6" spans="1:26" ht="18" customHeight="1" x14ac:dyDescent="0.25">
      <c r="A6" s="36">
        <v>600</v>
      </c>
      <c r="B6" s="32"/>
      <c r="C6" s="180">
        <v>3</v>
      </c>
      <c r="D6" s="34">
        <f t="shared" si="0"/>
        <v>600000000</v>
      </c>
      <c r="G6" s="161" t="s">
        <v>15</v>
      </c>
      <c r="H6" s="349">
        <f t="shared" si="1"/>
        <v>525000000</v>
      </c>
      <c r="I6" s="349"/>
      <c r="J6" s="349"/>
    </row>
    <row r="7" spans="1:26" ht="18" customHeight="1" x14ac:dyDescent="0.25">
      <c r="A7" s="36">
        <v>600</v>
      </c>
      <c r="B7" s="32"/>
      <c r="C7" s="180">
        <v>4</v>
      </c>
      <c r="D7" s="34">
        <f t="shared" si="0"/>
        <v>600000000</v>
      </c>
      <c r="G7" s="161" t="s">
        <v>16</v>
      </c>
      <c r="H7" s="349">
        <f t="shared" si="1"/>
        <v>600000000</v>
      </c>
      <c r="I7" s="349"/>
      <c r="J7" s="349"/>
    </row>
    <row r="8" spans="1:26" ht="18" customHeight="1" x14ac:dyDescent="0.25">
      <c r="A8" s="36">
        <v>600</v>
      </c>
      <c r="B8" s="32"/>
      <c r="C8" s="180">
        <v>5</v>
      </c>
      <c r="D8" s="34">
        <f t="shared" si="0"/>
        <v>600000000</v>
      </c>
      <c r="G8" s="161" t="s">
        <v>17</v>
      </c>
      <c r="H8" s="349">
        <f t="shared" si="1"/>
        <v>600000000</v>
      </c>
      <c r="I8" s="349"/>
      <c r="J8" s="349"/>
    </row>
    <row r="9" spans="1:26" ht="18" customHeight="1" x14ac:dyDescent="0.25">
      <c r="A9" s="36">
        <v>15</v>
      </c>
      <c r="B9" s="30" t="s">
        <v>74</v>
      </c>
      <c r="C9" s="31"/>
      <c r="D9" s="181">
        <f>A9/100</f>
        <v>0.15</v>
      </c>
      <c r="G9" s="161" t="s">
        <v>18</v>
      </c>
      <c r="H9" s="349">
        <f t="shared" si="1"/>
        <v>600000000</v>
      </c>
      <c r="I9" s="349"/>
      <c r="J9" s="349"/>
    </row>
    <row r="10" spans="1:26" x14ac:dyDescent="0.25">
      <c r="G10" s="161" t="s">
        <v>4</v>
      </c>
      <c r="H10" s="160">
        <f t="shared" si="1"/>
        <v>0.15</v>
      </c>
    </row>
    <row r="11" spans="1:26" ht="15" customHeight="1" x14ac:dyDescent="0.25">
      <c r="B11" s="363" t="str">
        <f>"Jika diketahui investasi sebesar Rp "&amp;IF(D3&gt;=1000000000,(TEXT(D3,"#.###,00... ")&amp;"milyar"),TEXT(D3,"#.###.. juta"))&amp;" dengan aliran kas selama 5 tahun berturut-turut: "&amp;TEXT(D4,"Rp #.###.. juta")&amp;", "&amp;TEXT(D5,"Rp #.###.. juta")&amp;", "&amp;TEXT(D6,"Rp #.###.. juta")&amp;", "&amp;TEXT(D7,"Rp #.###.. juta")&amp;", "&amp;TEXT(D8,"Rp #.###.. juta")&amp;" dan tingkat diskonto per tahun "&amp;TEXT(D9,"#%")</f>
        <v>Jika diketahui investasi sebesar Rp 1,50 milyar dengan aliran kas selama 5 tahun berturut-turut: Rp 400 juta, Rp 525 juta, Rp 600 juta, Rp 600 juta, Rp 600 juta dan tingkat diskonto per tahun 15%</v>
      </c>
      <c r="C11" s="363"/>
      <c r="D11" s="363"/>
    </row>
    <row r="12" spans="1:26" x14ac:dyDescent="0.25">
      <c r="B12" s="363"/>
      <c r="C12" s="363"/>
      <c r="D12" s="363"/>
      <c r="F12" s="14"/>
      <c r="G12" s="1" t="s">
        <v>154</v>
      </c>
    </row>
    <row r="13" spans="1:26" ht="18" x14ac:dyDescent="0.25">
      <c r="B13" s="363"/>
      <c r="C13" s="363"/>
      <c r="D13" s="363"/>
      <c r="G13" s="351" t="s">
        <v>6</v>
      </c>
      <c r="H13" s="164" t="s">
        <v>20</v>
      </c>
      <c r="I13" s="361" t="s">
        <v>29</v>
      </c>
      <c r="J13" s="164" t="s">
        <v>21</v>
      </c>
      <c r="K13" s="361" t="s">
        <v>29</v>
      </c>
      <c r="L13" s="164" t="s">
        <v>22</v>
      </c>
      <c r="M13" s="361" t="s">
        <v>29</v>
      </c>
      <c r="N13" s="355" t="s">
        <v>23</v>
      </c>
      <c r="O13" s="355"/>
      <c r="P13" s="355"/>
      <c r="Q13" s="361" t="s">
        <v>29</v>
      </c>
      <c r="R13" s="164" t="s">
        <v>24</v>
      </c>
      <c r="S13" s="352" t="s">
        <v>9</v>
      </c>
    </row>
    <row r="14" spans="1:26" ht="17.25" x14ac:dyDescent="0.25">
      <c r="B14" s="364"/>
      <c r="C14" s="364"/>
      <c r="D14" s="364"/>
      <c r="G14" s="351"/>
      <c r="H14" s="1" t="s">
        <v>19</v>
      </c>
      <c r="I14" s="361"/>
      <c r="J14" s="1" t="s">
        <v>155</v>
      </c>
      <c r="K14" s="361"/>
      <c r="L14" s="1" t="s">
        <v>156</v>
      </c>
      <c r="M14" s="361"/>
      <c r="N14" s="1" t="s">
        <v>157</v>
      </c>
      <c r="Q14" s="361"/>
      <c r="R14" s="1" t="s">
        <v>158</v>
      </c>
      <c r="S14" s="352"/>
    </row>
    <row r="15" spans="1:26" ht="15" customHeight="1" x14ac:dyDescent="0.25">
      <c r="B15" s="365" t="str">
        <f>"menghasilkan NPV yang "&amp;IF(NPV(D9,D4:D8)-D3&gt;0,"POSITIF","NEGATIF")&amp;" sehingga usulan proyek "&amp;IF(NPV(D9,D4:D8)-D3&lt;0,"DITOLAK","DITERIMA")</f>
        <v>menghasilkan NPV yang POSITIF sehingga usulan proyek DITERIMA</v>
      </c>
      <c r="C15" s="365"/>
      <c r="D15" s="365"/>
      <c r="G15" s="351" t="s">
        <v>6</v>
      </c>
      <c r="H15" s="362">
        <f>H5</f>
        <v>400000000</v>
      </c>
      <c r="I15" s="362"/>
      <c r="J15" s="362"/>
      <c r="K15" s="361" t="s">
        <v>29</v>
      </c>
      <c r="L15" s="362">
        <f>H6</f>
        <v>525000000</v>
      </c>
      <c r="M15" s="362"/>
      <c r="N15" s="362"/>
      <c r="O15" s="362"/>
      <c r="P15" s="361" t="s">
        <v>29</v>
      </c>
      <c r="Q15" s="362">
        <f>H7</f>
        <v>600000000</v>
      </c>
      <c r="R15" s="362"/>
      <c r="S15" s="362"/>
      <c r="T15" s="361" t="s">
        <v>29</v>
      </c>
      <c r="U15" s="362">
        <f>H8</f>
        <v>600000000</v>
      </c>
      <c r="V15" s="362"/>
      <c r="W15" s="361" t="s">
        <v>29</v>
      </c>
      <c r="X15" s="362">
        <f>H9</f>
        <v>600000000</v>
      </c>
      <c r="Y15" s="362"/>
      <c r="Z15" s="353" t="str">
        <f>TEXT(D3,"- #.000")</f>
        <v>- 1.500.000.000</v>
      </c>
    </row>
    <row r="16" spans="1:26" ht="17.25" x14ac:dyDescent="0.25">
      <c r="B16" s="365"/>
      <c r="C16" s="365"/>
      <c r="D16" s="365"/>
      <c r="G16" s="351"/>
      <c r="H16" s="361" t="str">
        <f>"(1 + "&amp;TEXT(H10,"0,00)")</f>
        <v>(1 + 0,15)</v>
      </c>
      <c r="I16" s="361"/>
      <c r="J16" s="361"/>
      <c r="K16" s="361"/>
      <c r="L16" s="351" t="str">
        <f>H16</f>
        <v>(1 + 0,15)</v>
      </c>
      <c r="M16" s="351"/>
      <c r="N16" s="351"/>
      <c r="O16" s="25">
        <v>2</v>
      </c>
      <c r="P16" s="361"/>
      <c r="Q16" s="1" t="str">
        <f>L16</f>
        <v>(1 + 0,15)</v>
      </c>
      <c r="S16" s="91">
        <v>3</v>
      </c>
      <c r="T16" s="361"/>
      <c r="U16" s="161" t="str">
        <f>Q16</f>
        <v>(1 + 0,15)</v>
      </c>
      <c r="V16" s="91">
        <v>4</v>
      </c>
      <c r="W16" s="361"/>
      <c r="X16" s="161" t="str">
        <f>U16</f>
        <v>(1 + 0,15)</v>
      </c>
      <c r="Y16" s="91">
        <v>5</v>
      </c>
      <c r="Z16" s="353"/>
    </row>
    <row r="17" spans="2:13" x14ac:dyDescent="0.25">
      <c r="B17" s="7"/>
      <c r="G17" s="161" t="s">
        <v>6</v>
      </c>
      <c r="H17" s="7" t="str">
        <f>TEXT(H5/(1+H10),"#.000 + ")&amp;TEXT(H6/(1+H10)^2,"#.000 + ")&amp;TEXT(H7/(1+H10)^3,"#.000 + ")&amp;TEXT(H8/(1+H10)^4,"#.000 + ")&amp;TEXT(H9/(1+H10)^5,"#.000 - ")&amp;TEXT(H4,"#.000")</f>
        <v>347.826.087 + 396.975.425 + 394.509.739 + 343.051.947 + 298.306.041 - 1.500.000.000</v>
      </c>
    </row>
    <row r="18" spans="2:13" x14ac:dyDescent="0.25">
      <c r="G18" s="161" t="s">
        <v>6</v>
      </c>
      <c r="H18" s="360">
        <f>H5/(1+H10)+H6/(1+H10)^2+ H7/(1+H10)^3+H8/(1+H10)^4+H9/(1+H10)^5-H4</f>
        <v>280669240.28132153</v>
      </c>
      <c r="I18" s="360"/>
      <c r="J18" s="360"/>
    </row>
    <row r="20" spans="2:13" x14ac:dyDescent="0.25">
      <c r="F20" s="109"/>
      <c r="G20" s="1" t="s">
        <v>159</v>
      </c>
    </row>
    <row r="21" spans="2:13" x14ac:dyDescent="0.25">
      <c r="E21" s="62"/>
      <c r="F21" s="62"/>
      <c r="G21" s="62"/>
      <c r="H21" s="7" t="s">
        <v>31</v>
      </c>
    </row>
    <row r="22" spans="2:13" x14ac:dyDescent="0.25">
      <c r="G22" s="161" t="s">
        <v>6</v>
      </c>
      <c r="H22" s="360">
        <f>NPV(H10,H5:J9)-H4</f>
        <v>280669240.28132153</v>
      </c>
      <c r="I22" s="349"/>
      <c r="J22" s="349"/>
      <c r="K22" s="182" t="s">
        <v>160</v>
      </c>
      <c r="L22" s="182"/>
      <c r="M22" s="182"/>
    </row>
    <row r="24" spans="2:13" x14ac:dyDescent="0.25">
      <c r="F24" s="14"/>
      <c r="G24" s="62" t="s">
        <v>82</v>
      </c>
    </row>
    <row r="25" spans="2:13" x14ac:dyDescent="0.25">
      <c r="H25" s="1" t="str">
        <f>"NPV "&amp;IF(H18&gt;0,"&gt; 0","&lt; 0")&amp;IF(H18&gt;0,", usulan proyek diterima",", usulan proyek ditolak")</f>
        <v>NPV &gt; 0, usulan proyek diterima</v>
      </c>
    </row>
    <row r="26" spans="2:13" ht="19.5" customHeight="1" x14ac:dyDescent="0.25"/>
  </sheetData>
  <mergeCells count="30">
    <mergeCell ref="H9:J9"/>
    <mergeCell ref="H4:J4"/>
    <mergeCell ref="H5:J5"/>
    <mergeCell ref="H6:J6"/>
    <mergeCell ref="H7:J7"/>
    <mergeCell ref="H8:J8"/>
    <mergeCell ref="X15:Y15"/>
    <mergeCell ref="Z15:Z16"/>
    <mergeCell ref="L16:N16"/>
    <mergeCell ref="B11:D14"/>
    <mergeCell ref="B15:D16"/>
    <mergeCell ref="G13:G14"/>
    <mergeCell ref="I13:I14"/>
    <mergeCell ref="G15:G16"/>
    <mergeCell ref="H15:J15"/>
    <mergeCell ref="H16:J16"/>
    <mergeCell ref="S13:S14"/>
    <mergeCell ref="Q15:S15"/>
    <mergeCell ref="Q13:Q14"/>
    <mergeCell ref="K13:K14"/>
    <mergeCell ref="M13:M14"/>
    <mergeCell ref="N13:P13"/>
    <mergeCell ref="K15:K16"/>
    <mergeCell ref="L15:O15"/>
    <mergeCell ref="P15:P16"/>
    <mergeCell ref="H18:J18"/>
    <mergeCell ref="H22:J22"/>
    <mergeCell ref="T15:T16"/>
    <mergeCell ref="U15:V15"/>
    <mergeCell ref="W15:W16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5" r:id="rId3" name="Scroll Bar 1">
              <controlPr defaultSize="0" autoPict="0">
                <anchor moveWithCells="1">
                  <from>
                    <xdr:col>2</xdr:col>
                    <xdr:colOff>714375</xdr:colOff>
                    <xdr:row>3</xdr:row>
                    <xdr:rowOff>28575</xdr:rowOff>
                  </from>
                  <to>
                    <xdr:col>2</xdr:col>
                    <xdr:colOff>1200150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6" r:id="rId4" name="Scroll Bar 2">
              <controlPr defaultSize="0" autoPict="0">
                <anchor moveWithCells="1">
                  <from>
                    <xdr:col>2</xdr:col>
                    <xdr:colOff>714375</xdr:colOff>
                    <xdr:row>8</xdr:row>
                    <xdr:rowOff>28575</xdr:rowOff>
                  </from>
                  <to>
                    <xdr:col>2</xdr:col>
                    <xdr:colOff>1200150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7" r:id="rId5" name="Scroll Bar 3">
              <controlPr defaultSize="0" autoPict="0">
                <anchor moveWithCells="1">
                  <from>
                    <xdr:col>2</xdr:col>
                    <xdr:colOff>714375</xdr:colOff>
                    <xdr:row>2</xdr:row>
                    <xdr:rowOff>28575</xdr:rowOff>
                  </from>
                  <to>
                    <xdr:col>2</xdr:col>
                    <xdr:colOff>1200150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8" r:id="rId6" name="Scroll Bar 4">
              <controlPr defaultSize="0" autoPict="0">
                <anchor moveWithCells="1">
                  <from>
                    <xdr:col>2</xdr:col>
                    <xdr:colOff>714375</xdr:colOff>
                    <xdr:row>4</xdr:row>
                    <xdr:rowOff>28575</xdr:rowOff>
                  </from>
                  <to>
                    <xdr:col>2</xdr:col>
                    <xdr:colOff>1200150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9" r:id="rId7" name="Scroll Bar 5">
              <controlPr defaultSize="0" autoPict="0">
                <anchor moveWithCells="1">
                  <from>
                    <xdr:col>2</xdr:col>
                    <xdr:colOff>714375</xdr:colOff>
                    <xdr:row>5</xdr:row>
                    <xdr:rowOff>28575</xdr:rowOff>
                  </from>
                  <to>
                    <xdr:col>2</xdr:col>
                    <xdr:colOff>1200150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0" r:id="rId8" name="Scroll Bar 6">
              <controlPr defaultSize="0" autoPict="0">
                <anchor moveWithCells="1">
                  <from>
                    <xdr:col>2</xdr:col>
                    <xdr:colOff>714375</xdr:colOff>
                    <xdr:row>6</xdr:row>
                    <xdr:rowOff>28575</xdr:rowOff>
                  </from>
                  <to>
                    <xdr:col>2</xdr:col>
                    <xdr:colOff>1200150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1" r:id="rId9" name="Scroll Bar 7">
              <controlPr defaultSize="0" autoPict="0">
                <anchor moveWithCells="1">
                  <from>
                    <xdr:col>2</xdr:col>
                    <xdr:colOff>714375</xdr:colOff>
                    <xdr:row>7</xdr:row>
                    <xdr:rowOff>28575</xdr:rowOff>
                  </from>
                  <to>
                    <xdr:col>2</xdr:col>
                    <xdr:colOff>1200150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4"/>
  <sheetViews>
    <sheetView showGridLines="0" topLeftCell="A7" workbookViewId="0">
      <selection activeCell="H21" sqref="H21:J21"/>
    </sheetView>
  </sheetViews>
  <sheetFormatPr defaultRowHeight="15" x14ac:dyDescent="0.25"/>
  <cols>
    <col min="1" max="1" width="5.85546875" style="1" customWidth="1"/>
    <col min="2" max="2" width="13.140625" style="1" customWidth="1"/>
    <col min="3" max="3" width="13.85546875" style="1" customWidth="1"/>
    <col min="4" max="4" width="14.140625" style="1" bestFit="1" customWidth="1"/>
    <col min="5" max="5" width="4.28515625" style="1" customWidth="1"/>
    <col min="6" max="6" width="0.85546875" style="1" customWidth="1"/>
    <col min="7" max="7" width="8.28515625" style="1" customWidth="1"/>
    <col min="8" max="8" width="6.140625" style="1" customWidth="1"/>
    <col min="9" max="9" width="3.140625" style="1" customWidth="1"/>
    <col min="10" max="10" width="3.42578125" style="1" customWidth="1"/>
    <col min="11" max="12" width="3.140625" style="1" customWidth="1"/>
    <col min="13" max="13" width="6.42578125" style="1" customWidth="1"/>
    <col min="14" max="15" width="3.140625" style="1" customWidth="1"/>
    <col min="16" max="16" width="3.7109375" style="1" customWidth="1"/>
    <col min="17" max="17" width="4" style="1" customWidth="1"/>
    <col min="18" max="18" width="4.28515625" style="1" customWidth="1"/>
    <col min="19" max="19" width="3.5703125" style="1" customWidth="1"/>
    <col min="20" max="20" width="9.140625" style="1" customWidth="1"/>
    <col min="21" max="21" width="2.7109375" style="1" customWidth="1"/>
    <col min="22" max="22" width="3.140625" style="1" customWidth="1"/>
    <col min="23" max="23" width="8.85546875" style="1" customWidth="1"/>
    <col min="24" max="24" width="3" style="1" customWidth="1"/>
    <col min="25" max="25" width="13.5703125" style="1" customWidth="1"/>
    <col min="26" max="26" width="5.85546875" style="1" customWidth="1"/>
    <col min="27" max="16384" width="9.140625" style="1"/>
  </cols>
  <sheetData>
    <row r="1" spans="1:25" ht="19.5" customHeight="1" x14ac:dyDescent="0.25"/>
    <row r="2" spans="1:25" ht="18.75" x14ac:dyDescent="0.25">
      <c r="B2" s="20" t="s">
        <v>114</v>
      </c>
    </row>
    <row r="3" spans="1:25" ht="16.5" customHeight="1" x14ac:dyDescent="0.25">
      <c r="A3" s="36">
        <v>2500</v>
      </c>
      <c r="B3" s="30" t="s">
        <v>10</v>
      </c>
      <c r="C3" s="31"/>
      <c r="D3" s="34">
        <f>A3*1000000</f>
        <v>2500000000</v>
      </c>
      <c r="F3" s="14"/>
      <c r="G3" s="1" t="s">
        <v>3</v>
      </c>
    </row>
    <row r="4" spans="1:25" ht="16.5" customHeight="1" x14ac:dyDescent="0.25">
      <c r="A4" s="36"/>
      <c r="B4" s="30" t="s">
        <v>11</v>
      </c>
      <c r="C4" s="31"/>
      <c r="D4" s="34"/>
      <c r="G4" s="4" t="s">
        <v>13</v>
      </c>
      <c r="H4" s="349">
        <f>D3</f>
        <v>2500000000</v>
      </c>
      <c r="I4" s="349"/>
      <c r="J4" s="349"/>
      <c r="K4" s="349"/>
    </row>
    <row r="5" spans="1:25" ht="16.5" customHeight="1" x14ac:dyDescent="0.25">
      <c r="A5" s="36">
        <v>700</v>
      </c>
      <c r="B5" s="32"/>
      <c r="C5" s="33">
        <v>1</v>
      </c>
      <c r="D5" s="34">
        <f t="shared" ref="D5:D11" si="0">A5*1000000</f>
        <v>700000000</v>
      </c>
      <c r="G5" s="4" t="s">
        <v>4</v>
      </c>
      <c r="H5" s="3">
        <f>D10</f>
        <v>0.15</v>
      </c>
    </row>
    <row r="6" spans="1:25" ht="16.5" customHeight="1" x14ac:dyDescent="0.25">
      <c r="A6" s="36">
        <v>750</v>
      </c>
      <c r="B6" s="32"/>
      <c r="C6" s="33">
        <v>2</v>
      </c>
      <c r="D6" s="34">
        <f t="shared" si="0"/>
        <v>750000000</v>
      </c>
      <c r="G6" s="4" t="s">
        <v>14</v>
      </c>
      <c r="H6" s="349">
        <f>D5</f>
        <v>700000000</v>
      </c>
      <c r="I6" s="349"/>
      <c r="J6" s="349"/>
    </row>
    <row r="7" spans="1:25" ht="16.5" customHeight="1" x14ac:dyDescent="0.25">
      <c r="A7" s="36">
        <v>950</v>
      </c>
      <c r="B7" s="32"/>
      <c r="C7" s="33">
        <v>3</v>
      </c>
      <c r="D7" s="34">
        <f t="shared" si="0"/>
        <v>950000000</v>
      </c>
      <c r="G7" s="4" t="s">
        <v>15</v>
      </c>
      <c r="H7" s="349">
        <f t="shared" ref="H7:H10" si="1">D6</f>
        <v>750000000</v>
      </c>
      <c r="I7" s="349"/>
      <c r="J7" s="349"/>
    </row>
    <row r="8" spans="1:25" ht="16.5" customHeight="1" x14ac:dyDescent="0.25">
      <c r="A8" s="36">
        <v>950</v>
      </c>
      <c r="B8" s="32"/>
      <c r="C8" s="33">
        <v>4</v>
      </c>
      <c r="D8" s="34">
        <f t="shared" si="0"/>
        <v>950000000</v>
      </c>
      <c r="G8" s="4" t="s">
        <v>16</v>
      </c>
      <c r="H8" s="349">
        <f t="shared" si="1"/>
        <v>950000000</v>
      </c>
      <c r="I8" s="349"/>
      <c r="J8" s="349"/>
    </row>
    <row r="9" spans="1:25" ht="16.5" customHeight="1" x14ac:dyDescent="0.25">
      <c r="A9" s="36">
        <v>950</v>
      </c>
      <c r="B9" s="32"/>
      <c r="C9" s="33">
        <v>5</v>
      </c>
      <c r="D9" s="34">
        <f t="shared" si="0"/>
        <v>950000000</v>
      </c>
      <c r="G9" s="4" t="s">
        <v>17</v>
      </c>
      <c r="H9" s="349">
        <f t="shared" si="1"/>
        <v>950000000</v>
      </c>
      <c r="I9" s="349"/>
      <c r="J9" s="349"/>
    </row>
    <row r="10" spans="1:25" ht="16.5" customHeight="1" x14ac:dyDescent="0.25">
      <c r="A10" s="36">
        <v>15</v>
      </c>
      <c r="B10" s="30" t="s">
        <v>12</v>
      </c>
      <c r="C10" s="31"/>
      <c r="D10" s="35">
        <f>A10/100</f>
        <v>0.15</v>
      </c>
      <c r="G10" s="4" t="s">
        <v>18</v>
      </c>
      <c r="H10" s="349">
        <f t="shared" si="1"/>
        <v>950000000</v>
      </c>
      <c r="I10" s="349"/>
      <c r="J10" s="349"/>
    </row>
    <row r="11" spans="1:25" ht="16.5" customHeight="1" x14ac:dyDescent="0.25">
      <c r="A11" s="36">
        <v>300</v>
      </c>
      <c r="B11" s="30" t="s">
        <v>35</v>
      </c>
      <c r="C11" s="31"/>
      <c r="D11" s="34">
        <f t="shared" si="0"/>
        <v>300000000</v>
      </c>
    </row>
    <row r="12" spans="1:25" x14ac:dyDescent="0.25">
      <c r="F12" s="14"/>
      <c r="G12" s="1" t="s">
        <v>33</v>
      </c>
    </row>
    <row r="13" spans="1:25" ht="18" customHeight="1" x14ac:dyDescent="0.25">
      <c r="B13" s="368" t="str">
        <f>"Jika diketahui investasi sebesar Rp "&amp;TEXT(D3,"#.###,00... ")&amp;"milyar dengan aliran kas selama 5 tahun berturut-turut: "&amp;TEXT(D5,"Rp #.###.. juta")&amp;", "&amp;TEXT(D6,"Rp #.###.. juta")&amp;", "&amp;TEXT(D7,"Rp #.###.. juta")&amp;", "&amp;TEXT(D8,"Rp #.###.. juta")&amp;", "&amp;TEXT(D9,"Rp #.###.. juta")&amp;" dan tingkat diskonto per tahun "&amp;TEXT(D10,"#%")&amp;" serta "&amp;LOWER(B11)&amp;TEXT(D11," Rp #.###.. juta")</f>
        <v>Jika diketahui investasi sebesar Rp 2,50 milyar dengan aliran kas selama 5 tahun berturut-turut: Rp 700 juta, Rp 750 juta, Rp 950 juta, Rp 950 juta, Rp 950 juta dan tingkat diskonto per tahun 15% serta batas penerimaan Rp 300 juta</v>
      </c>
      <c r="C13" s="368"/>
      <c r="D13" s="368"/>
      <c r="G13" s="351" t="s">
        <v>6</v>
      </c>
      <c r="H13" s="8" t="s">
        <v>20</v>
      </c>
      <c r="I13" s="361" t="s">
        <v>29</v>
      </c>
      <c r="J13" s="355" t="s">
        <v>21</v>
      </c>
      <c r="K13" s="355"/>
      <c r="L13" s="361" t="s">
        <v>29</v>
      </c>
      <c r="M13" s="8" t="s">
        <v>22</v>
      </c>
      <c r="N13" s="361" t="s">
        <v>29</v>
      </c>
      <c r="O13" s="355" t="s">
        <v>23</v>
      </c>
      <c r="P13" s="355"/>
      <c r="Q13" s="361" t="s">
        <v>29</v>
      </c>
      <c r="R13" s="355" t="s">
        <v>24</v>
      </c>
      <c r="S13" s="355"/>
      <c r="T13" s="352" t="s">
        <v>9</v>
      </c>
      <c r="U13" s="23"/>
    </row>
    <row r="14" spans="1:25" ht="17.25" x14ac:dyDescent="0.25">
      <c r="B14" s="368"/>
      <c r="C14" s="368"/>
      <c r="D14" s="368"/>
      <c r="G14" s="351"/>
      <c r="H14" s="1" t="s">
        <v>19</v>
      </c>
      <c r="I14" s="361"/>
      <c r="J14" s="1" t="s">
        <v>25</v>
      </c>
      <c r="L14" s="361"/>
      <c r="M14" s="1" t="s">
        <v>26</v>
      </c>
      <c r="N14" s="361"/>
      <c r="O14" s="1" t="s">
        <v>27</v>
      </c>
      <c r="Q14" s="361"/>
      <c r="R14" s="1" t="s">
        <v>28</v>
      </c>
      <c r="T14" s="352"/>
      <c r="U14" s="23"/>
    </row>
    <row r="15" spans="1:25" x14ac:dyDescent="0.25">
      <c r="B15" s="368"/>
      <c r="C15" s="368"/>
      <c r="D15" s="368"/>
      <c r="G15" s="351" t="s">
        <v>6</v>
      </c>
      <c r="H15" s="362">
        <f>H6</f>
        <v>700000000</v>
      </c>
      <c r="I15" s="362"/>
      <c r="J15" s="362"/>
      <c r="K15" s="361" t="s">
        <v>29</v>
      </c>
      <c r="L15" s="362">
        <f>H7</f>
        <v>750000000</v>
      </c>
      <c r="M15" s="362"/>
      <c r="N15" s="362"/>
      <c r="O15" s="361" t="s">
        <v>29</v>
      </c>
      <c r="P15" s="362">
        <f>H8</f>
        <v>950000000</v>
      </c>
      <c r="Q15" s="362"/>
      <c r="R15" s="362"/>
      <c r="S15" s="350" t="s">
        <v>29</v>
      </c>
      <c r="T15" s="362">
        <f>H9</f>
        <v>950000000</v>
      </c>
      <c r="U15" s="362"/>
      <c r="V15" s="361" t="s">
        <v>29</v>
      </c>
      <c r="W15" s="362">
        <f>H10</f>
        <v>950000000</v>
      </c>
      <c r="X15" s="362"/>
      <c r="Y15" s="353" t="str">
        <f>"- "&amp;TEXT(H4,"#.000")</f>
        <v>- 2.500.000.000</v>
      </c>
    </row>
    <row r="16" spans="1:25" ht="17.25" x14ac:dyDescent="0.25">
      <c r="B16" s="368"/>
      <c r="C16" s="368"/>
      <c r="D16" s="368"/>
      <c r="G16" s="351"/>
      <c r="H16" s="356" t="str">
        <f>"(1 + "&amp;TEXT(H5,"0,00")&amp;")"</f>
        <v>(1 + 0,15)</v>
      </c>
      <c r="I16" s="356"/>
      <c r="J16" s="356"/>
      <c r="K16" s="361"/>
      <c r="L16" s="356" t="str">
        <f>"(1 + "&amp;TEXT(H5,"0,00")&amp;")"</f>
        <v>(1 + 0,15)</v>
      </c>
      <c r="M16" s="356"/>
      <c r="N16" s="24">
        <f>C6</f>
        <v>2</v>
      </c>
      <c r="O16" s="361"/>
      <c r="P16" s="356" t="str">
        <f>"(1 + "&amp;TEXT(H5,"0,00")&amp;")"</f>
        <v>(1 + 0,15)</v>
      </c>
      <c r="Q16" s="356"/>
      <c r="R16" s="24">
        <f>C7</f>
        <v>3</v>
      </c>
      <c r="S16" s="350"/>
      <c r="T16" s="26" t="str">
        <f>"(1 + "&amp;TEXT(H5,"0,00")&amp;")"</f>
        <v>(1 + 0,15)</v>
      </c>
      <c r="U16" s="24">
        <f>C8</f>
        <v>4</v>
      </c>
      <c r="V16" s="361"/>
      <c r="W16" s="27" t="str">
        <f>"(1 + "&amp;TEXT(H5,"0,00")&amp;")"</f>
        <v>(1 + 0,15)</v>
      </c>
      <c r="X16" s="25">
        <f>C9</f>
        <v>5</v>
      </c>
      <c r="Y16" s="353"/>
    </row>
    <row r="17" spans="2:14" x14ac:dyDescent="0.25">
      <c r="B17" s="368"/>
      <c r="C17" s="368"/>
      <c r="D17" s="368"/>
      <c r="G17" s="307" t="s">
        <v>6</v>
      </c>
      <c r="H17" s="349">
        <f>H15/(1+H5)+L15/(1+H5)^N16+P15/(1+H5)^R16+T15/(1+H5)^U16+W15/(1+H5)^X16-H4</f>
        <v>315927305.30364895</v>
      </c>
      <c r="I17" s="349"/>
      <c r="J17" s="349"/>
      <c r="K17" s="349"/>
    </row>
    <row r="18" spans="2:14" x14ac:dyDescent="0.25">
      <c r="B18" s="368"/>
      <c r="C18" s="368"/>
      <c r="D18" s="368"/>
    </row>
    <row r="19" spans="2:14" x14ac:dyDescent="0.25">
      <c r="B19" s="369" t="str">
        <f>"Menghasilkan NPV "&amp;IF(NPV(D10,D5:D9)-D3&gt;D11,"&gt; batas penerimaan, usulan proyek diterima","&lt; batas penerimaan, usulan proyek ditolak")</f>
        <v>Menghasilkan NPV &gt; batas penerimaan, usulan proyek diterima</v>
      </c>
      <c r="C19" s="369"/>
      <c r="D19" s="369"/>
      <c r="F19" s="14"/>
      <c r="G19" s="1" t="s">
        <v>30</v>
      </c>
    </row>
    <row r="20" spans="2:14" x14ac:dyDescent="0.25">
      <c r="B20" s="369"/>
      <c r="C20" s="369"/>
      <c r="D20" s="369"/>
      <c r="G20" s="4"/>
      <c r="H20" s="7" t="s">
        <v>31</v>
      </c>
    </row>
    <row r="21" spans="2:14" x14ac:dyDescent="0.25">
      <c r="G21" s="4" t="s">
        <v>6</v>
      </c>
      <c r="H21" s="366">
        <f>NPV(H5,H6:J10)-H4</f>
        <v>315927305.30364943</v>
      </c>
      <c r="I21" s="367"/>
      <c r="J21" s="367"/>
      <c r="L21" s="29" t="s">
        <v>32</v>
      </c>
      <c r="M21" s="29"/>
      <c r="N21" s="29"/>
    </row>
    <row r="22" spans="2:14" x14ac:dyDescent="0.25">
      <c r="G22" s="4"/>
      <c r="H22" s="37"/>
      <c r="I22" s="38"/>
      <c r="J22" s="38"/>
      <c r="L22" s="29"/>
      <c r="M22" s="29"/>
      <c r="N22" s="29"/>
    </row>
    <row r="23" spans="2:14" x14ac:dyDescent="0.25">
      <c r="F23" s="14"/>
      <c r="G23" s="2" t="s">
        <v>34</v>
      </c>
      <c r="H23" s="37"/>
      <c r="I23" s="39" t="str">
        <f>IF(H21&gt;D11,"NPV &gt; batas penerimaan, usulan proyek diterima","NPV &lt; batas penerimaan, usulan proyek ditolak")</f>
        <v>NPV &gt; batas penerimaan, usulan proyek diterima</v>
      </c>
      <c r="J23" s="38"/>
      <c r="L23" s="29"/>
      <c r="M23" s="29"/>
      <c r="N23" s="29"/>
    </row>
    <row r="24" spans="2:14" ht="19.5" customHeight="1" x14ac:dyDescent="0.25"/>
  </sheetData>
  <mergeCells count="33">
    <mergeCell ref="B19:D20"/>
    <mergeCell ref="H10:J10"/>
    <mergeCell ref="H4:K4"/>
    <mergeCell ref="H6:J6"/>
    <mergeCell ref="H7:J7"/>
    <mergeCell ref="H8:J8"/>
    <mergeCell ref="H9:J9"/>
    <mergeCell ref="G13:G14"/>
    <mergeCell ref="I13:I14"/>
    <mergeCell ref="J13:K13"/>
    <mergeCell ref="H17:K17"/>
    <mergeCell ref="G15:G16"/>
    <mergeCell ref="H15:J15"/>
    <mergeCell ref="K15:K16"/>
    <mergeCell ref="B13:D18"/>
    <mergeCell ref="Y15:Y16"/>
    <mergeCell ref="H16:J16"/>
    <mergeCell ref="L16:M16"/>
    <mergeCell ref="P16:Q16"/>
    <mergeCell ref="L13:L14"/>
    <mergeCell ref="N13:N14"/>
    <mergeCell ref="H21:J21"/>
    <mergeCell ref="T15:U15"/>
    <mergeCell ref="V15:V16"/>
    <mergeCell ref="W15:X15"/>
    <mergeCell ref="Q13:Q14"/>
    <mergeCell ref="R13:S13"/>
    <mergeCell ref="T13:T14"/>
    <mergeCell ref="P15:R15"/>
    <mergeCell ref="S15:S16"/>
    <mergeCell ref="O13:P13"/>
    <mergeCell ref="O15:O16"/>
    <mergeCell ref="L15:N15"/>
  </mergeCells>
  <pageMargins left="0.7" right="0.7" top="0.75" bottom="0.75" header="0.3" footer="0.3"/>
  <ignoredErrors>
    <ignoredError sqref="D10 H5" formula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2</xdr:col>
                    <xdr:colOff>352425</xdr:colOff>
                    <xdr:row>4</xdr:row>
                    <xdr:rowOff>9525</xdr:rowOff>
                  </from>
                  <to>
                    <xdr:col>2</xdr:col>
                    <xdr:colOff>838200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Scroll Bar 2">
              <controlPr defaultSize="0" autoPict="0">
                <anchor moveWithCells="1">
                  <from>
                    <xdr:col>2</xdr:col>
                    <xdr:colOff>352425</xdr:colOff>
                    <xdr:row>2</xdr:row>
                    <xdr:rowOff>28575</xdr:rowOff>
                  </from>
                  <to>
                    <xdr:col>2</xdr:col>
                    <xdr:colOff>838200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Scroll Bar 3">
              <controlPr defaultSize="0" autoPict="0">
                <anchor moveWithCells="1">
                  <from>
                    <xdr:col>2</xdr:col>
                    <xdr:colOff>352425</xdr:colOff>
                    <xdr:row>5</xdr:row>
                    <xdr:rowOff>9525</xdr:rowOff>
                  </from>
                  <to>
                    <xdr:col>2</xdr:col>
                    <xdr:colOff>838200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Scroll Bar 4">
              <controlPr defaultSize="0" autoPict="0">
                <anchor moveWithCells="1">
                  <from>
                    <xdr:col>2</xdr:col>
                    <xdr:colOff>352425</xdr:colOff>
                    <xdr:row>6</xdr:row>
                    <xdr:rowOff>9525</xdr:rowOff>
                  </from>
                  <to>
                    <xdr:col>2</xdr:col>
                    <xdr:colOff>838200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Scroll Bar 5">
              <controlPr defaultSize="0" autoPict="0">
                <anchor moveWithCells="1">
                  <from>
                    <xdr:col>2</xdr:col>
                    <xdr:colOff>352425</xdr:colOff>
                    <xdr:row>7</xdr:row>
                    <xdr:rowOff>9525</xdr:rowOff>
                  </from>
                  <to>
                    <xdr:col>2</xdr:col>
                    <xdr:colOff>838200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Scroll Bar 6">
              <controlPr defaultSize="0" autoPict="0">
                <anchor moveWithCells="1">
                  <from>
                    <xdr:col>2</xdr:col>
                    <xdr:colOff>352425</xdr:colOff>
                    <xdr:row>8</xdr:row>
                    <xdr:rowOff>9525</xdr:rowOff>
                  </from>
                  <to>
                    <xdr:col>2</xdr:col>
                    <xdr:colOff>838200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Scroll Bar 7">
              <controlPr defaultSize="0" autoPict="0">
                <anchor moveWithCells="1">
                  <from>
                    <xdr:col>2</xdr:col>
                    <xdr:colOff>352425</xdr:colOff>
                    <xdr:row>9</xdr:row>
                    <xdr:rowOff>9525</xdr:rowOff>
                  </from>
                  <to>
                    <xdr:col>2</xdr:col>
                    <xdr:colOff>838200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Scroll Bar 8">
              <controlPr defaultSize="0" autoPict="0">
                <anchor moveWithCells="1">
                  <from>
                    <xdr:col>2</xdr:col>
                    <xdr:colOff>352425</xdr:colOff>
                    <xdr:row>10</xdr:row>
                    <xdr:rowOff>9525</xdr:rowOff>
                  </from>
                  <to>
                    <xdr:col>2</xdr:col>
                    <xdr:colOff>838200</xdr:colOff>
                    <xdr:row>10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23"/>
  <sheetViews>
    <sheetView showGridLines="0" topLeftCell="A4" workbookViewId="0">
      <selection activeCell="B17" sqref="B17:E17"/>
    </sheetView>
  </sheetViews>
  <sheetFormatPr defaultRowHeight="15" x14ac:dyDescent="0.25"/>
  <cols>
    <col min="1" max="1" width="5.85546875" style="1" customWidth="1"/>
    <col min="2" max="2" width="12.28515625" style="1" customWidth="1"/>
    <col min="3" max="3" width="9.28515625" style="1" customWidth="1"/>
    <col min="4" max="4" width="13.85546875" style="1" customWidth="1"/>
    <col min="5" max="5" width="14.140625" style="1" bestFit="1" customWidth="1"/>
    <col min="6" max="6" width="4.28515625" style="1" customWidth="1"/>
    <col min="7" max="7" width="0.85546875" style="1" customWidth="1"/>
    <col min="8" max="8" width="3.7109375" style="1" customWidth="1"/>
    <col min="9" max="9" width="7.42578125" style="1" customWidth="1"/>
    <col min="10" max="10" width="0.85546875" style="1" customWidth="1"/>
    <col min="11" max="11" width="6.42578125" style="1" customWidth="1"/>
    <col min="12" max="12" width="3.140625" style="1" customWidth="1"/>
    <col min="13" max="13" width="3.42578125" style="1" customWidth="1"/>
    <col min="14" max="14" width="5" style="1" customWidth="1"/>
    <col min="15" max="15" width="3.140625" style="1" customWidth="1"/>
    <col min="16" max="16" width="8.42578125" style="1" customWidth="1"/>
    <col min="17" max="17" width="3.140625" style="1" customWidth="1"/>
    <col min="18" max="18" width="4.140625" style="1" customWidth="1"/>
    <col min="19" max="19" width="4.42578125" style="1" customWidth="1"/>
    <col min="20" max="20" width="4" style="1" customWidth="1"/>
    <col min="21" max="21" width="3.42578125" style="1" customWidth="1"/>
    <col min="22" max="22" width="4.85546875" style="1" customWidth="1"/>
    <col min="23" max="23" width="9" style="1" customWidth="1"/>
    <col min="24" max="24" width="2" style="1" customWidth="1"/>
    <col min="25" max="25" width="4.28515625" style="1" customWidth="1"/>
    <col min="26" max="26" width="9.42578125" style="1" customWidth="1"/>
    <col min="27" max="27" width="2" style="1" customWidth="1"/>
    <col min="28" max="28" width="13.140625" style="1" customWidth="1"/>
    <col min="29" max="29" width="5.85546875" style="1" customWidth="1"/>
    <col min="30" max="16384" width="9.140625" style="1"/>
  </cols>
  <sheetData>
    <row r="1" spans="1:28" ht="19.5" customHeight="1" x14ac:dyDescent="0.25"/>
    <row r="2" spans="1:28" ht="18.75" x14ac:dyDescent="0.25">
      <c r="B2" s="20" t="s">
        <v>114</v>
      </c>
      <c r="C2" s="20"/>
    </row>
    <row r="3" spans="1:28" ht="16.5" customHeight="1" x14ac:dyDescent="0.25">
      <c r="A3" s="36">
        <v>750</v>
      </c>
      <c r="B3" s="30" t="s">
        <v>10</v>
      </c>
      <c r="C3" s="30"/>
      <c r="D3" s="31"/>
      <c r="E3" s="34">
        <f>A3*1000000</f>
        <v>750000000</v>
      </c>
      <c r="G3" s="14"/>
      <c r="H3" s="1" t="s">
        <v>3</v>
      </c>
    </row>
    <row r="4" spans="1:28" ht="16.5" customHeight="1" x14ac:dyDescent="0.25">
      <c r="A4" s="36"/>
      <c r="B4" s="30" t="s">
        <v>11</v>
      </c>
      <c r="C4" s="30"/>
      <c r="D4" s="31"/>
      <c r="E4" s="34"/>
      <c r="J4" s="42" t="s">
        <v>13</v>
      </c>
      <c r="K4" s="350">
        <f>-E3</f>
        <v>-750000000</v>
      </c>
      <c r="L4" s="350"/>
      <c r="M4" s="350"/>
      <c r="N4" s="54"/>
    </row>
    <row r="5" spans="1:28" ht="16.5" customHeight="1" x14ac:dyDescent="0.25">
      <c r="A5" s="36">
        <v>150</v>
      </c>
      <c r="B5" s="32"/>
      <c r="C5" s="32"/>
      <c r="D5" s="33">
        <v>1</v>
      </c>
      <c r="E5" s="34">
        <f>A5*1000000</f>
        <v>150000000</v>
      </c>
      <c r="J5" s="42" t="s">
        <v>14</v>
      </c>
      <c r="K5" s="349">
        <f t="shared" ref="K5:K8" si="0">E5</f>
        <v>150000000</v>
      </c>
      <c r="L5" s="349"/>
      <c r="M5" s="349"/>
      <c r="N5" s="54"/>
    </row>
    <row r="6" spans="1:28" ht="16.5" customHeight="1" x14ac:dyDescent="0.25">
      <c r="A6" s="36">
        <v>200</v>
      </c>
      <c r="B6" s="32"/>
      <c r="C6" s="32"/>
      <c r="D6" s="33">
        <v>2</v>
      </c>
      <c r="E6" s="34">
        <f>A6*1000000</f>
        <v>200000000</v>
      </c>
      <c r="J6" s="42" t="s">
        <v>15</v>
      </c>
      <c r="K6" s="349">
        <f t="shared" si="0"/>
        <v>200000000</v>
      </c>
      <c r="L6" s="349"/>
      <c r="M6" s="349"/>
      <c r="N6" s="54"/>
    </row>
    <row r="7" spans="1:28" ht="16.5" customHeight="1" x14ac:dyDescent="0.25">
      <c r="A7" s="36">
        <v>250</v>
      </c>
      <c r="B7" s="32"/>
      <c r="C7" s="32"/>
      <c r="D7" s="33">
        <v>3</v>
      </c>
      <c r="E7" s="34">
        <f>A7*1000000</f>
        <v>250000000</v>
      </c>
      <c r="J7" s="42" t="s">
        <v>16</v>
      </c>
      <c r="K7" s="349">
        <f t="shared" si="0"/>
        <v>250000000</v>
      </c>
      <c r="L7" s="349"/>
      <c r="M7" s="349"/>
      <c r="N7" s="54"/>
    </row>
    <row r="8" spans="1:28" ht="16.5" customHeight="1" x14ac:dyDescent="0.25">
      <c r="A8" s="36">
        <v>250</v>
      </c>
      <c r="B8" s="32"/>
      <c r="C8" s="32"/>
      <c r="D8" s="33">
        <v>4</v>
      </c>
      <c r="E8" s="34">
        <f>A8*1000000</f>
        <v>250000000</v>
      </c>
      <c r="J8" s="42" t="s">
        <v>17</v>
      </c>
      <c r="K8" s="349">
        <f t="shared" si="0"/>
        <v>250000000</v>
      </c>
      <c r="L8" s="349"/>
      <c r="M8" s="349"/>
      <c r="N8" s="54"/>
    </row>
    <row r="9" spans="1:28" ht="16.5" customHeight="1" x14ac:dyDescent="0.25">
      <c r="A9" s="36">
        <v>200</v>
      </c>
      <c r="B9" s="30" t="s">
        <v>112</v>
      </c>
      <c r="C9" s="32"/>
      <c r="D9" s="33">
        <v>5</v>
      </c>
      <c r="E9" s="34">
        <f>A9*1000000</f>
        <v>200000000</v>
      </c>
      <c r="J9" s="42" t="s">
        <v>18</v>
      </c>
      <c r="K9" s="349">
        <f>E9+E10</f>
        <v>350000000</v>
      </c>
      <c r="L9" s="349"/>
      <c r="M9" s="349"/>
      <c r="N9" s="54" t="str">
        <f>" = "&amp;TEXT(E9,"#.000")&amp;" + "&amp;TEXT(E10,"#.000")</f>
        <v xml:space="preserve"> = 200.000.000 + 150.000.000</v>
      </c>
    </row>
    <row r="10" spans="1:28" ht="16.5" customHeight="1" x14ac:dyDescent="0.25">
      <c r="A10" s="36">
        <v>150</v>
      </c>
      <c r="B10" s="15" t="s">
        <v>113</v>
      </c>
      <c r="C10" s="117"/>
      <c r="D10" s="117"/>
      <c r="E10" s="17">
        <f t="shared" ref="E10" si="1">A10*1000000</f>
        <v>150000000</v>
      </c>
      <c r="J10" s="42" t="s">
        <v>4</v>
      </c>
      <c r="K10" s="41">
        <f>E11</f>
        <v>0.12</v>
      </c>
    </row>
    <row r="11" spans="1:28" ht="16.5" customHeight="1" x14ac:dyDescent="0.25">
      <c r="A11" s="36">
        <v>12</v>
      </c>
      <c r="B11" s="30" t="s">
        <v>42</v>
      </c>
      <c r="C11" s="30"/>
      <c r="D11" s="31"/>
      <c r="E11" s="35">
        <f>A11/100</f>
        <v>0.12</v>
      </c>
    </row>
    <row r="12" spans="1:28" x14ac:dyDescent="0.25">
      <c r="G12" s="14"/>
      <c r="H12" s="1" t="s">
        <v>33</v>
      </c>
    </row>
    <row r="13" spans="1:28" ht="18" customHeight="1" x14ac:dyDescent="0.25">
      <c r="B13" s="368" t="str">
        <f>"Jika diketahui investasi sebesar Rp "&amp;TEXT(E3,"#.###.. juta")&amp;" dengan aliran kas selama 5 tahun berturut-turut: "&amp;TEXT(E5,"Rp #.###.. juta")&amp;", "&amp;TEXT(E6,"Rp #.###.. juta")&amp;", "&amp;TEXT(E7,"Rp #.###.. juta")&amp;", "&amp;TEXT(E8,"Rp #.###.. juta")&amp;", "&amp;TEXT(E9+E10,"Rp #.###.. juta")&amp;" dan retur yang diinginkan "&amp;TEXT(E11,"#%")</f>
        <v>Jika diketahui investasi sebesar Rp 750 juta dengan aliran kas selama 5 tahun berturut-turut: Rp 150 juta, Rp 200 juta, Rp 250 juta, Rp 250 juta, Rp 350 juta dan retur yang diinginkan 12%</v>
      </c>
      <c r="C13" s="368"/>
      <c r="D13" s="368"/>
      <c r="E13" s="368"/>
      <c r="I13" s="351" t="s">
        <v>6</v>
      </c>
      <c r="J13" s="351"/>
      <c r="K13" s="49" t="s">
        <v>20</v>
      </c>
      <c r="L13" s="361" t="s">
        <v>29</v>
      </c>
      <c r="M13" s="355" t="s">
        <v>21</v>
      </c>
      <c r="N13" s="355"/>
      <c r="O13" s="361" t="s">
        <v>29</v>
      </c>
      <c r="P13" s="49" t="s">
        <v>22</v>
      </c>
      <c r="Q13" s="361" t="s">
        <v>29</v>
      </c>
      <c r="R13" s="355" t="s">
        <v>23</v>
      </c>
      <c r="S13" s="355"/>
      <c r="T13" s="361" t="s">
        <v>29</v>
      </c>
      <c r="U13" s="355" t="s">
        <v>24</v>
      </c>
      <c r="V13" s="355"/>
      <c r="W13" s="352" t="s">
        <v>9</v>
      </c>
      <c r="X13" s="48"/>
    </row>
    <row r="14" spans="1:28" ht="17.25" x14ac:dyDescent="0.25">
      <c r="B14" s="368"/>
      <c r="C14" s="368"/>
      <c r="D14" s="368"/>
      <c r="E14" s="368"/>
      <c r="I14" s="351"/>
      <c r="J14" s="351"/>
      <c r="K14" s="1" t="s">
        <v>44</v>
      </c>
      <c r="L14" s="361"/>
      <c r="M14" s="1" t="s">
        <v>45</v>
      </c>
      <c r="O14" s="361"/>
      <c r="P14" s="1" t="s">
        <v>46</v>
      </c>
      <c r="Q14" s="361"/>
      <c r="R14" s="1" t="s">
        <v>47</v>
      </c>
      <c r="T14" s="361"/>
      <c r="U14" s="1" t="s">
        <v>48</v>
      </c>
      <c r="W14" s="352"/>
      <c r="X14" s="48"/>
    </row>
    <row r="15" spans="1:28" x14ac:dyDescent="0.25">
      <c r="B15" s="368"/>
      <c r="C15" s="368"/>
      <c r="D15" s="368"/>
      <c r="E15" s="368"/>
      <c r="I15" s="351" t="s">
        <v>6</v>
      </c>
      <c r="J15" s="351"/>
      <c r="K15" s="362">
        <f>K5</f>
        <v>150000000</v>
      </c>
      <c r="L15" s="362"/>
      <c r="M15" s="362"/>
      <c r="N15" s="361" t="s">
        <v>29</v>
      </c>
      <c r="O15" s="362">
        <f>K6</f>
        <v>200000000</v>
      </c>
      <c r="P15" s="362"/>
      <c r="Q15" s="362"/>
      <c r="R15" s="361" t="s">
        <v>29</v>
      </c>
      <c r="S15" s="362">
        <f>K7</f>
        <v>250000000</v>
      </c>
      <c r="T15" s="362"/>
      <c r="U15" s="362"/>
      <c r="V15" s="350" t="s">
        <v>29</v>
      </c>
      <c r="W15" s="362">
        <f>K8</f>
        <v>250000000</v>
      </c>
      <c r="X15" s="362"/>
      <c r="Y15" s="361" t="s">
        <v>29</v>
      </c>
      <c r="Z15" s="362">
        <f>K9</f>
        <v>350000000</v>
      </c>
      <c r="AA15" s="362"/>
      <c r="AB15" s="349">
        <f>K4</f>
        <v>-750000000</v>
      </c>
    </row>
    <row r="16" spans="1:28" ht="17.25" x14ac:dyDescent="0.25">
      <c r="B16" s="368"/>
      <c r="C16" s="368"/>
      <c r="D16" s="368"/>
      <c r="E16" s="368"/>
      <c r="I16" s="351"/>
      <c r="J16" s="351"/>
      <c r="K16" s="356" t="str">
        <f>"1 + "&amp;TEXT(E11,"0,0##")</f>
        <v>1 + 0,12</v>
      </c>
      <c r="L16" s="356"/>
      <c r="M16" s="356"/>
      <c r="N16" s="361"/>
      <c r="O16" s="370" t="str">
        <f>"(1 + "&amp;TEXT($E11,"0,0##")&amp;")"</f>
        <v>(1 + 0,12)</v>
      </c>
      <c r="P16" s="370"/>
      <c r="Q16" s="127">
        <v>2</v>
      </c>
      <c r="R16" s="361"/>
      <c r="S16" s="370" t="str">
        <f>"(1 + "&amp;TEXT($E11,"0,0##")&amp;")"</f>
        <v>(1 + 0,12)</v>
      </c>
      <c r="T16" s="370"/>
      <c r="U16" s="127">
        <v>3</v>
      </c>
      <c r="V16" s="350"/>
      <c r="W16" s="27" t="str">
        <f>"(1 + "&amp;TEXT($E11,"0,0##")&amp;")"</f>
        <v>(1 + 0,12)</v>
      </c>
      <c r="X16" s="126">
        <v>4</v>
      </c>
      <c r="Y16" s="361"/>
      <c r="Z16" s="27" t="str">
        <f>"(1 + "&amp;TEXT($E11,"0,0##")&amp;")"</f>
        <v>(1 + 0,12)</v>
      </c>
      <c r="AA16" s="126">
        <v>5</v>
      </c>
      <c r="AB16" s="353"/>
    </row>
    <row r="17" spans="2:28" ht="16.5" customHeight="1" x14ac:dyDescent="0.25">
      <c r="B17" s="372" t="str">
        <f>"Menghasilkan "&amp;IF(NPV(E11,E5:E10)-E3&gt;0,"NPV &gt; 0, usulan proyek diterima","NPV &lt; 0, usulan proyek ditolak")</f>
        <v>Menghasilkan NPV &gt; 0, usulan proyek diterima</v>
      </c>
      <c r="C17" s="372"/>
      <c r="D17" s="372"/>
      <c r="E17" s="372"/>
      <c r="I17" s="42"/>
      <c r="J17" s="161" t="s">
        <v>6</v>
      </c>
      <c r="K17" s="371">
        <f>K15/(1+E11)+O15/(1+E11)^2+S15/(1+E11)^3+W15/(1+E11)^4+Z15/(1+E11)^5-E3</f>
        <v>78791327.994845629</v>
      </c>
      <c r="L17" s="371"/>
      <c r="M17" s="371"/>
      <c r="N17" s="43"/>
      <c r="O17" s="27"/>
      <c r="P17" s="27"/>
      <c r="Q17" s="126"/>
      <c r="R17" s="43"/>
      <c r="S17" s="27"/>
      <c r="T17" s="27"/>
      <c r="U17" s="126"/>
      <c r="V17" s="47"/>
      <c r="W17" s="27"/>
      <c r="X17" s="126"/>
      <c r="Y17" s="43"/>
      <c r="Z17" s="27"/>
      <c r="AA17" s="126"/>
      <c r="AB17" s="44"/>
    </row>
    <row r="18" spans="2:28" x14ac:dyDescent="0.25">
      <c r="B18" s="308"/>
      <c r="C18" s="308"/>
      <c r="D18" s="308"/>
      <c r="E18" s="308"/>
      <c r="H18" s="42"/>
      <c r="I18" s="42"/>
      <c r="J18" s="42"/>
      <c r="K18" s="56"/>
      <c r="L18" s="56"/>
      <c r="M18" s="56"/>
      <c r="N18" s="43"/>
      <c r="O18" s="56"/>
      <c r="P18" s="56"/>
      <c r="Q18" s="56"/>
      <c r="R18" s="43"/>
      <c r="S18" s="56"/>
      <c r="T18" s="56"/>
      <c r="U18" s="56"/>
      <c r="V18" s="47"/>
      <c r="W18" s="56"/>
      <c r="X18" s="56"/>
      <c r="Y18" s="43"/>
      <c r="Z18" s="56"/>
      <c r="AA18" s="56"/>
      <c r="AB18" s="44"/>
    </row>
    <row r="19" spans="2:28" x14ac:dyDescent="0.25">
      <c r="B19" s="62"/>
      <c r="C19" s="62"/>
      <c r="D19" s="62"/>
      <c r="E19" s="62"/>
      <c r="G19" s="14"/>
      <c r="H19" s="1" t="s">
        <v>30</v>
      </c>
    </row>
    <row r="20" spans="2:28" x14ac:dyDescent="0.25">
      <c r="I20" s="42" t="s">
        <v>6</v>
      </c>
      <c r="J20" s="360">
        <f>NPV(K10,K5:M9)-E3</f>
        <v>78791327.994845629</v>
      </c>
      <c r="K20" s="360"/>
      <c r="L20" s="360"/>
      <c r="M20" s="360"/>
      <c r="N20" s="54" t="s">
        <v>134</v>
      </c>
      <c r="O20" s="114"/>
      <c r="P20" s="114"/>
      <c r="Q20" s="114"/>
    </row>
    <row r="21" spans="2:28" x14ac:dyDescent="0.25">
      <c r="H21" s="42"/>
      <c r="I21" s="42"/>
      <c r="J21" s="42"/>
      <c r="K21" s="45"/>
      <c r="L21" s="46"/>
      <c r="M21" s="46"/>
      <c r="O21" s="29"/>
      <c r="P21" s="29"/>
      <c r="Q21" s="29"/>
    </row>
    <row r="22" spans="2:28" x14ac:dyDescent="0.25">
      <c r="G22" s="14"/>
      <c r="H22" s="44" t="s">
        <v>34</v>
      </c>
      <c r="J22" s="45"/>
      <c r="K22" s="39" t="str">
        <f>IF(J20&gt;0,"NPV &gt; 0, usulan proyek diterima","NPV negatif, usulan proyek ditolak")</f>
        <v>NPV &gt; 0, usulan proyek diterima</v>
      </c>
      <c r="M22" s="46"/>
      <c r="O22" s="29"/>
      <c r="P22" s="29"/>
      <c r="Q22" s="29"/>
    </row>
    <row r="23" spans="2:28" ht="19.5" customHeight="1" x14ac:dyDescent="0.25"/>
  </sheetData>
  <mergeCells count="33">
    <mergeCell ref="B13:E16"/>
    <mergeCell ref="B17:E17"/>
    <mergeCell ref="K9:M9"/>
    <mergeCell ref="K4:M4"/>
    <mergeCell ref="K5:M5"/>
    <mergeCell ref="K6:M6"/>
    <mergeCell ref="K7:M7"/>
    <mergeCell ref="K8:M8"/>
    <mergeCell ref="T13:T14"/>
    <mergeCell ref="U13:V13"/>
    <mergeCell ref="W13:W14"/>
    <mergeCell ref="I15:J16"/>
    <mergeCell ref="K15:M15"/>
    <mergeCell ref="N15:N16"/>
    <mergeCell ref="O15:Q15"/>
    <mergeCell ref="R15:R16"/>
    <mergeCell ref="S15:U15"/>
    <mergeCell ref="V15:V16"/>
    <mergeCell ref="I13:J14"/>
    <mergeCell ref="L13:L14"/>
    <mergeCell ref="M13:N13"/>
    <mergeCell ref="O13:O14"/>
    <mergeCell ref="Q13:Q14"/>
    <mergeCell ref="R13:S13"/>
    <mergeCell ref="O16:P16"/>
    <mergeCell ref="K17:M17"/>
    <mergeCell ref="J20:M20"/>
    <mergeCell ref="Y15:Y16"/>
    <mergeCell ref="AB15:AB16"/>
    <mergeCell ref="K16:M16"/>
    <mergeCell ref="W15:X15"/>
    <mergeCell ref="Z15:AA15"/>
    <mergeCell ref="S16:T16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3" name="Scroll Bar 1">
              <controlPr defaultSize="0" autoPict="0">
                <anchor moveWithCells="1">
                  <from>
                    <xdr:col>3</xdr:col>
                    <xdr:colOff>352425</xdr:colOff>
                    <xdr:row>4</xdr:row>
                    <xdr:rowOff>9525</xdr:rowOff>
                  </from>
                  <to>
                    <xdr:col>3</xdr:col>
                    <xdr:colOff>838200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4" name="Scroll Bar 2">
              <controlPr defaultSize="0" autoPict="0">
                <anchor moveWithCells="1">
                  <from>
                    <xdr:col>3</xdr:col>
                    <xdr:colOff>352425</xdr:colOff>
                    <xdr:row>2</xdr:row>
                    <xdr:rowOff>28575</xdr:rowOff>
                  </from>
                  <to>
                    <xdr:col>3</xdr:col>
                    <xdr:colOff>838200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5" name="Scroll Bar 3">
              <controlPr defaultSize="0" autoPict="0">
                <anchor moveWithCells="1">
                  <from>
                    <xdr:col>3</xdr:col>
                    <xdr:colOff>352425</xdr:colOff>
                    <xdr:row>5</xdr:row>
                    <xdr:rowOff>9525</xdr:rowOff>
                  </from>
                  <to>
                    <xdr:col>3</xdr:col>
                    <xdr:colOff>838200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6" name="Scroll Bar 4">
              <controlPr defaultSize="0" autoPict="0">
                <anchor moveWithCells="1">
                  <from>
                    <xdr:col>3</xdr:col>
                    <xdr:colOff>352425</xdr:colOff>
                    <xdr:row>6</xdr:row>
                    <xdr:rowOff>9525</xdr:rowOff>
                  </from>
                  <to>
                    <xdr:col>3</xdr:col>
                    <xdr:colOff>838200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7" name="Scroll Bar 5">
              <controlPr defaultSize="0" autoPict="0">
                <anchor moveWithCells="1">
                  <from>
                    <xdr:col>3</xdr:col>
                    <xdr:colOff>352425</xdr:colOff>
                    <xdr:row>7</xdr:row>
                    <xdr:rowOff>9525</xdr:rowOff>
                  </from>
                  <to>
                    <xdr:col>3</xdr:col>
                    <xdr:colOff>838200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8" name="Scroll Bar 6">
              <controlPr defaultSize="0" autoPict="0">
                <anchor moveWithCells="1">
                  <from>
                    <xdr:col>3</xdr:col>
                    <xdr:colOff>352425</xdr:colOff>
                    <xdr:row>8</xdr:row>
                    <xdr:rowOff>9525</xdr:rowOff>
                  </from>
                  <to>
                    <xdr:col>3</xdr:col>
                    <xdr:colOff>838200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9" name="Scroll Bar 7">
              <controlPr defaultSize="0" autoPict="0">
                <anchor moveWithCells="1">
                  <from>
                    <xdr:col>3</xdr:col>
                    <xdr:colOff>352425</xdr:colOff>
                    <xdr:row>10</xdr:row>
                    <xdr:rowOff>19050</xdr:rowOff>
                  </from>
                  <to>
                    <xdr:col>3</xdr:col>
                    <xdr:colOff>838200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0" r:id="rId10" name="Scroll Bar 10">
              <controlPr defaultSize="0" autoPict="0">
                <anchor moveWithCells="1">
                  <from>
                    <xdr:col>3</xdr:col>
                    <xdr:colOff>352425</xdr:colOff>
                    <xdr:row>9</xdr:row>
                    <xdr:rowOff>9525</xdr:rowOff>
                  </from>
                  <to>
                    <xdr:col>3</xdr:col>
                    <xdr:colOff>838200</xdr:colOff>
                    <xdr:row>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showGridLines="0" topLeftCell="A16" workbookViewId="0">
      <selection activeCell="U18" sqref="U18"/>
    </sheetView>
  </sheetViews>
  <sheetFormatPr defaultRowHeight="15" x14ac:dyDescent="0.25"/>
  <cols>
    <col min="1" max="1" width="5.85546875" style="1" customWidth="1"/>
    <col min="2" max="2" width="9.140625" style="1"/>
    <col min="3" max="3" width="18.85546875" style="1" customWidth="1"/>
    <col min="4" max="4" width="14.42578125" style="1" customWidth="1"/>
    <col min="5" max="5" width="4.28515625" style="1" customWidth="1"/>
    <col min="6" max="6" width="0.85546875" style="1" customWidth="1"/>
    <col min="7" max="7" width="3.140625" style="1" customWidth="1"/>
    <col min="8" max="8" width="0.85546875" style="1" customWidth="1"/>
    <col min="9" max="9" width="7.85546875" style="1" customWidth="1"/>
    <col min="10" max="10" width="1.140625" style="1" customWidth="1"/>
    <col min="11" max="11" width="2.7109375" style="1" customWidth="1"/>
    <col min="12" max="12" width="6.5703125" style="1" customWidth="1"/>
    <col min="13" max="13" width="24.28515625" style="1" customWidth="1"/>
    <col min="14" max="14" width="4.28515625" style="1" customWidth="1"/>
    <col min="15" max="15" width="0.85546875" style="1" customWidth="1"/>
    <col min="16" max="16" width="3.140625" style="1" customWidth="1"/>
    <col min="17" max="17" width="0.85546875" style="1" customWidth="1"/>
    <col min="18" max="18" width="7.28515625" style="1" customWidth="1"/>
    <col min="19" max="19" width="2.42578125" style="1" customWidth="1"/>
    <col min="20" max="20" width="2.140625" style="1" customWidth="1"/>
    <col min="21" max="21" width="14.42578125" style="1" customWidth="1"/>
    <col min="22" max="22" width="22.7109375" style="1" customWidth="1"/>
    <col min="23" max="23" width="5.85546875" style="1" customWidth="1"/>
    <col min="24" max="16384" width="9.140625" style="1"/>
  </cols>
  <sheetData>
    <row r="1" spans="1:21" ht="19.5" customHeight="1" x14ac:dyDescent="0.25"/>
    <row r="2" spans="1:21" ht="18" x14ac:dyDescent="0.25">
      <c r="B2" s="125" t="s">
        <v>111</v>
      </c>
    </row>
    <row r="3" spans="1:21" ht="17.25" customHeight="1" x14ac:dyDescent="0.25">
      <c r="A3" s="36">
        <v>750</v>
      </c>
      <c r="B3" s="30" t="s">
        <v>71</v>
      </c>
      <c r="C3" s="31"/>
      <c r="D3" s="34">
        <f>A3*1000000</f>
        <v>750000000</v>
      </c>
      <c r="F3" s="120"/>
      <c r="G3" s="1" t="s">
        <v>108</v>
      </c>
      <c r="O3" s="109"/>
      <c r="P3" s="1" t="s">
        <v>109</v>
      </c>
    </row>
    <row r="4" spans="1:21" ht="17.25" customHeight="1" x14ac:dyDescent="0.25">
      <c r="A4" s="36">
        <v>1500</v>
      </c>
      <c r="B4" s="30" t="s">
        <v>98</v>
      </c>
      <c r="C4" s="31"/>
      <c r="D4" s="34">
        <f>A4*100000</f>
        <v>150000000</v>
      </c>
      <c r="H4" s="14"/>
      <c r="I4" s="1" t="s">
        <v>3</v>
      </c>
      <c r="Q4" s="14"/>
      <c r="R4" s="1" t="s">
        <v>110</v>
      </c>
    </row>
    <row r="5" spans="1:21" ht="17.25" customHeight="1" x14ac:dyDescent="0.25">
      <c r="A5" s="36">
        <v>1000</v>
      </c>
      <c r="B5" s="30" t="s">
        <v>99</v>
      </c>
      <c r="C5" s="31"/>
      <c r="D5" s="124">
        <f>A5/10000</f>
        <v>0.1</v>
      </c>
      <c r="I5" s="42" t="s">
        <v>13</v>
      </c>
      <c r="J5" s="349">
        <f>D3</f>
        <v>750000000</v>
      </c>
      <c r="K5" s="349"/>
      <c r="L5" s="349"/>
      <c r="M5" s="349"/>
      <c r="T5" s="42" t="s">
        <v>13</v>
      </c>
      <c r="U5" s="187">
        <f>J5</f>
        <v>750000000</v>
      </c>
    </row>
    <row r="6" spans="1:21" ht="17.25" customHeight="1" x14ac:dyDescent="0.25">
      <c r="A6" s="36"/>
      <c r="B6" s="30" t="s">
        <v>243</v>
      </c>
      <c r="C6" s="31"/>
      <c r="D6" s="99">
        <v>10</v>
      </c>
      <c r="I6" s="161" t="s">
        <v>184</v>
      </c>
      <c r="J6" s="349">
        <f>D4</f>
        <v>150000000</v>
      </c>
      <c r="K6" s="349"/>
      <c r="L6" s="349"/>
      <c r="M6" s="349"/>
      <c r="T6" s="42" t="s">
        <v>4</v>
      </c>
      <c r="U6" s="191">
        <f>D7</f>
        <v>0.17499999999999999</v>
      </c>
    </row>
    <row r="7" spans="1:21" ht="17.25" customHeight="1" x14ac:dyDescent="0.2">
      <c r="A7" s="36">
        <v>1750</v>
      </c>
      <c r="B7" s="30" t="s">
        <v>101</v>
      </c>
      <c r="C7" s="31"/>
      <c r="D7" s="124">
        <f>A7/10000</f>
        <v>0.17499999999999999</v>
      </c>
      <c r="I7" s="42" t="s">
        <v>102</v>
      </c>
      <c r="J7" s="373">
        <f>D5</f>
        <v>0.1</v>
      </c>
      <c r="K7" s="373"/>
      <c r="L7" s="373"/>
      <c r="R7" s="42" t="s">
        <v>84</v>
      </c>
      <c r="S7" s="103">
        <v>1</v>
      </c>
      <c r="T7" s="42" t="s">
        <v>6</v>
      </c>
      <c r="U7" s="116">
        <f>J6</f>
        <v>150000000</v>
      </c>
    </row>
    <row r="8" spans="1:21" ht="17.25" customHeight="1" x14ac:dyDescent="0.2">
      <c r="I8" s="42" t="s">
        <v>75</v>
      </c>
      <c r="J8" s="349">
        <f>D6</f>
        <v>10</v>
      </c>
      <c r="K8" s="349"/>
      <c r="L8" s="349"/>
      <c r="R8" s="42" t="str">
        <f>IF(S8="","",R7)</f>
        <v>CF</v>
      </c>
      <c r="S8" s="103">
        <f>IF(S7&lt;D$6,S7+1,"")</f>
        <v>2</v>
      </c>
      <c r="T8" s="42" t="str">
        <f>IF(S8="","",T7)</f>
        <v>=</v>
      </c>
      <c r="U8" s="116">
        <f>IF(T8="","",(1+D$5)*U7)</f>
        <v>165000000</v>
      </c>
    </row>
    <row r="9" spans="1:21" ht="15" customHeight="1" x14ac:dyDescent="0.2">
      <c r="B9" s="374" t="str">
        <f>"Jika diketahui investasi Rp "&amp;TEXT(D3,"#.###.. juta")&amp;", "&amp;LOWER(B4)&amp;TEXT(D4," Rp #.###.. juta")&amp;", "&amp;LOWER(B5)&amp;TEXT(D5," #,00% ")&amp;" dengan "&amp;LOWER(B6)&amp;D6&amp;" tahun dan "&amp;LOWER(B7)&amp;TEXT(D7," #,00%")</f>
        <v>Jika diketahui investasi Rp 750 juta, arus kas bersih  Rp 150 juta, kenaikan per tahun 10,00%  dengan umur proyek 10 tahun dan retur diharapkan 17,50%</v>
      </c>
      <c r="C9" s="374"/>
      <c r="D9" s="374"/>
      <c r="I9" s="42" t="s">
        <v>4</v>
      </c>
      <c r="J9" s="373">
        <f>D7</f>
        <v>0.17499999999999999</v>
      </c>
      <c r="K9" s="373"/>
      <c r="L9" s="373"/>
      <c r="R9" s="42" t="str">
        <f t="shared" ref="R9:R16" si="0">IF(S9="","",R8)</f>
        <v>CF</v>
      </c>
      <c r="S9" s="103">
        <f t="shared" ref="S9:S15" si="1">IF(S8&lt;D$6,S8+1,"")</f>
        <v>3</v>
      </c>
      <c r="T9" s="42" t="str">
        <f t="shared" ref="T9:T16" si="2">IF(S9="","",T8)</f>
        <v>=</v>
      </c>
      <c r="U9" s="116">
        <f t="shared" ref="U9:U16" si="3">IF(T9="","",(1+D$5)*U8)</f>
        <v>181500000</v>
      </c>
    </row>
    <row r="10" spans="1:21" x14ac:dyDescent="0.2">
      <c r="B10" s="374"/>
      <c r="C10" s="374"/>
      <c r="D10" s="374"/>
      <c r="R10" s="42" t="str">
        <f t="shared" si="0"/>
        <v>CF</v>
      </c>
      <c r="S10" s="103">
        <f t="shared" si="1"/>
        <v>4</v>
      </c>
      <c r="T10" s="42" t="str">
        <f t="shared" si="2"/>
        <v>=</v>
      </c>
      <c r="U10" s="116">
        <f t="shared" si="3"/>
        <v>199650000.00000003</v>
      </c>
    </row>
    <row r="11" spans="1:21" x14ac:dyDescent="0.2">
      <c r="B11" s="374"/>
      <c r="C11" s="374"/>
      <c r="D11" s="374"/>
      <c r="H11" s="14"/>
      <c r="I11" s="1" t="s">
        <v>65</v>
      </c>
      <c r="R11" s="42" t="str">
        <f t="shared" si="0"/>
        <v>CF</v>
      </c>
      <c r="S11" s="103">
        <f t="shared" si="1"/>
        <v>5</v>
      </c>
      <c r="T11" s="42" t="str">
        <f t="shared" si="2"/>
        <v>=</v>
      </c>
      <c r="U11" s="116">
        <f t="shared" si="3"/>
        <v>219615000.00000006</v>
      </c>
    </row>
    <row r="12" spans="1:21" ht="18" x14ac:dyDescent="0.35">
      <c r="B12" s="374"/>
      <c r="C12" s="374"/>
      <c r="D12" s="374"/>
      <c r="I12" s="351" t="s">
        <v>76</v>
      </c>
      <c r="J12" s="42"/>
      <c r="K12" s="376" t="s">
        <v>77</v>
      </c>
      <c r="L12" s="90" t="s">
        <v>78</v>
      </c>
      <c r="M12" s="352" t="s">
        <v>9</v>
      </c>
      <c r="R12" s="42" t="str">
        <f t="shared" si="0"/>
        <v>CF</v>
      </c>
      <c r="S12" s="103">
        <f t="shared" si="1"/>
        <v>6</v>
      </c>
      <c r="T12" s="42" t="str">
        <f t="shared" si="2"/>
        <v>=</v>
      </c>
      <c r="U12" s="116">
        <f t="shared" si="3"/>
        <v>241576500.00000009</v>
      </c>
    </row>
    <row r="13" spans="1:21" ht="15" customHeight="1" x14ac:dyDescent="0.2">
      <c r="B13" s="375" t="str">
        <f>"Menghasilkan NPV menunjukkan angka "&amp;IF(J19&gt;0,"POSITIF","NEGATIF")&amp;", usulan proyek dipertimbangkan untuk "&amp;IF(J19&gt;0,"DITERIMA","DITOLAK")</f>
        <v>Menghasilkan NPV menunjukkan angka POSITIF, usulan proyek dipertimbangkan untuk DITERIMA</v>
      </c>
      <c r="C13" s="375"/>
      <c r="D13" s="375"/>
      <c r="I13" s="351"/>
      <c r="K13" s="376"/>
      <c r="L13" s="43" t="s">
        <v>79</v>
      </c>
      <c r="M13" s="352"/>
      <c r="R13" s="42" t="str">
        <f t="shared" si="0"/>
        <v>CF</v>
      </c>
      <c r="S13" s="103">
        <f t="shared" si="1"/>
        <v>7</v>
      </c>
      <c r="T13" s="42" t="str">
        <f t="shared" si="2"/>
        <v>=</v>
      </c>
      <c r="U13" s="116">
        <f t="shared" si="3"/>
        <v>265734150.00000012</v>
      </c>
    </row>
    <row r="14" spans="1:21" ht="18" customHeight="1" x14ac:dyDescent="0.2">
      <c r="B14" s="375"/>
      <c r="C14" s="375"/>
      <c r="D14" s="375"/>
      <c r="K14" s="377" t="s">
        <v>104</v>
      </c>
      <c r="L14" s="104" t="s">
        <v>105</v>
      </c>
      <c r="M14" s="378" t="s">
        <v>107</v>
      </c>
      <c r="R14" s="42" t="str">
        <f t="shared" si="0"/>
        <v>CF</v>
      </c>
      <c r="S14" s="103">
        <f t="shared" si="1"/>
        <v>8</v>
      </c>
      <c r="T14" s="42" t="str">
        <f t="shared" si="2"/>
        <v>=</v>
      </c>
      <c r="U14" s="116">
        <f t="shared" si="3"/>
        <v>292307565.00000018</v>
      </c>
    </row>
    <row r="15" spans="1:21" x14ac:dyDescent="0.2">
      <c r="B15" s="375"/>
      <c r="C15" s="375"/>
      <c r="D15" s="375"/>
      <c r="I15" s="42" t="s">
        <v>6</v>
      </c>
      <c r="K15" s="355"/>
      <c r="L15" s="92" t="s">
        <v>103</v>
      </c>
      <c r="M15" s="378"/>
      <c r="R15" s="42" t="str">
        <f t="shared" si="0"/>
        <v>CF</v>
      </c>
      <c r="S15" s="103">
        <f t="shared" si="1"/>
        <v>9</v>
      </c>
      <c r="T15" s="42" t="str">
        <f t="shared" si="2"/>
        <v>=</v>
      </c>
      <c r="U15" s="116">
        <f t="shared" si="3"/>
        <v>321538321.50000024</v>
      </c>
    </row>
    <row r="16" spans="1:21" x14ac:dyDescent="0.2">
      <c r="L16" s="43" t="s">
        <v>106</v>
      </c>
      <c r="M16" s="378"/>
      <c r="R16" s="42" t="str">
        <f t="shared" si="0"/>
        <v>CF</v>
      </c>
      <c r="S16" s="103">
        <f>IF(S15&lt;D$6,S15+1,"")</f>
        <v>10</v>
      </c>
      <c r="T16" s="42" t="str">
        <f t="shared" si="2"/>
        <v>=</v>
      </c>
      <c r="U16" s="116">
        <f t="shared" si="3"/>
        <v>353692153.65000027</v>
      </c>
    </row>
    <row r="17" spans="3:22" x14ac:dyDescent="0.25">
      <c r="I17" s="42" t="s">
        <v>6</v>
      </c>
      <c r="J17" s="114" t="str">
        <f>TEXT((1-((1+D5)/(1+D7))^D6)/(D7-D5),"#,000####")&amp;" x "&amp;TEXT(J6,"#.000")&amp;" - "&amp;TEXT(J5,"#.000")</f>
        <v>6,439085 x 150.000.000 - 750.000.000</v>
      </c>
      <c r="K17" s="54"/>
      <c r="L17" s="54"/>
      <c r="M17" s="54"/>
      <c r="U17" s="116"/>
    </row>
    <row r="18" spans="3:22" x14ac:dyDescent="0.25">
      <c r="I18" s="42" t="s">
        <v>6</v>
      </c>
      <c r="J18" s="114" t="str">
        <f>TEXT((1-((1+D5)/(1+D7))^D6)/(D7-D5)*J6,"#.000")&amp;" - "&amp;TEXT(J5,"#.000")</f>
        <v>965.862.752 - 750.000.000</v>
      </c>
      <c r="K18" s="54"/>
      <c r="L18" s="54"/>
      <c r="M18" s="54"/>
      <c r="Q18" s="14"/>
      <c r="R18" s="1" t="s">
        <v>0</v>
      </c>
      <c r="T18" s="42" t="s">
        <v>6</v>
      </c>
      <c r="U18" s="122">
        <f>NPV(U6,U7:U16)-U5</f>
        <v>215862751.6333214</v>
      </c>
      <c r="V18" s="54" t="s">
        <v>183</v>
      </c>
    </row>
    <row r="19" spans="3:22" x14ac:dyDescent="0.25">
      <c r="C19" s="50"/>
      <c r="I19" s="42" t="s">
        <v>6</v>
      </c>
      <c r="J19" s="360">
        <f>(1-((1+D5)/(1+D7))^D6)/(D7-D5)*J6-J5</f>
        <v>215862751.6333214</v>
      </c>
      <c r="K19" s="349"/>
      <c r="L19" s="349"/>
      <c r="M19" s="349"/>
    </row>
    <row r="20" spans="3:22" ht="15" customHeight="1" x14ac:dyDescent="0.25"/>
    <row r="21" spans="3:22" x14ac:dyDescent="0.25">
      <c r="C21" s="54"/>
      <c r="H21" s="123"/>
      <c r="I21" s="1" t="s">
        <v>82</v>
      </c>
      <c r="L21" s="1" t="str">
        <f>"karena NPV menunjukkan angka "&amp;IF(J19&gt;0,"POSITIF","NEGATIF")&amp;", usulan proyek dipertimbangkan untuk"&amp;IF(J19&gt;0," DITERIMA"," DITOLAK")</f>
        <v>karena NPV menunjukkan angka POSITIF, usulan proyek dipertimbangkan untuk DITERIMA</v>
      </c>
    </row>
    <row r="22" spans="3:22" ht="19.5" customHeight="1" x14ac:dyDescent="0.25"/>
    <row r="23" spans="3:22" x14ac:dyDescent="0.25">
      <c r="C23" s="54"/>
    </row>
    <row r="24" spans="3:22" x14ac:dyDescent="0.25">
      <c r="I24" s="50"/>
    </row>
    <row r="25" spans="3:22" x14ac:dyDescent="0.25">
      <c r="I25" s="50"/>
    </row>
    <row r="26" spans="3:22" x14ac:dyDescent="0.25">
      <c r="I26" s="121"/>
    </row>
    <row r="28" spans="3:22" x14ac:dyDescent="0.25">
      <c r="I28" s="50"/>
    </row>
  </sheetData>
  <mergeCells count="13">
    <mergeCell ref="B9:D12"/>
    <mergeCell ref="B13:D15"/>
    <mergeCell ref="I12:I13"/>
    <mergeCell ref="K12:K13"/>
    <mergeCell ref="M12:M13"/>
    <mergeCell ref="K14:K15"/>
    <mergeCell ref="M14:M16"/>
    <mergeCell ref="J19:M19"/>
    <mergeCell ref="J5:M5"/>
    <mergeCell ref="J6:M6"/>
    <mergeCell ref="J7:L7"/>
    <mergeCell ref="J8:L8"/>
    <mergeCell ref="J9:L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Scroll Bar 1">
              <controlPr defaultSize="0" autoPict="0">
                <anchor moveWithCells="1">
                  <from>
                    <xdr:col>2</xdr:col>
                    <xdr:colOff>704850</xdr:colOff>
                    <xdr:row>4</xdr:row>
                    <xdr:rowOff>28575</xdr:rowOff>
                  </from>
                  <to>
                    <xdr:col>2</xdr:col>
                    <xdr:colOff>1190625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Scroll Bar 2">
              <controlPr defaultSize="0" autoPict="0">
                <anchor moveWithCells="1">
                  <from>
                    <xdr:col>2</xdr:col>
                    <xdr:colOff>704850</xdr:colOff>
                    <xdr:row>3</xdr:row>
                    <xdr:rowOff>28575</xdr:rowOff>
                  </from>
                  <to>
                    <xdr:col>2</xdr:col>
                    <xdr:colOff>1190625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5" name="Scroll Bar 3">
              <controlPr defaultSize="0" autoPict="0">
                <anchor moveWithCells="1">
                  <from>
                    <xdr:col>2</xdr:col>
                    <xdr:colOff>704850</xdr:colOff>
                    <xdr:row>2</xdr:row>
                    <xdr:rowOff>28575</xdr:rowOff>
                  </from>
                  <to>
                    <xdr:col>2</xdr:col>
                    <xdr:colOff>1190625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6" name="Scroll Bar 4">
              <controlPr defaultSize="0" autoPict="0">
                <anchor moveWithCells="1">
                  <from>
                    <xdr:col>2</xdr:col>
                    <xdr:colOff>704850</xdr:colOff>
                    <xdr:row>5</xdr:row>
                    <xdr:rowOff>28575</xdr:rowOff>
                  </from>
                  <to>
                    <xdr:col>2</xdr:col>
                    <xdr:colOff>1190625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7" name="Scroll Bar 5">
              <controlPr defaultSize="0" autoPict="0">
                <anchor moveWithCells="1">
                  <from>
                    <xdr:col>2</xdr:col>
                    <xdr:colOff>704850</xdr:colOff>
                    <xdr:row>6</xdr:row>
                    <xdr:rowOff>28575</xdr:rowOff>
                  </from>
                  <to>
                    <xdr:col>2</xdr:col>
                    <xdr:colOff>1190625</xdr:colOff>
                    <xdr:row>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37"/>
  <sheetViews>
    <sheetView showGridLines="0" topLeftCell="A22" zoomScale="96" zoomScaleNormal="96" workbookViewId="0">
      <selection activeCell="L33" sqref="L33:O33"/>
    </sheetView>
  </sheetViews>
  <sheetFormatPr defaultRowHeight="15" x14ac:dyDescent="0.25"/>
  <cols>
    <col min="1" max="1" width="5.85546875" style="1" customWidth="1"/>
    <col min="2" max="2" width="16.5703125" style="1" customWidth="1"/>
    <col min="3" max="3" width="5.42578125" style="1" customWidth="1"/>
    <col min="4" max="5" width="21.5703125" style="1" customWidth="1"/>
    <col min="6" max="6" width="3.7109375" style="1" customWidth="1"/>
    <col min="7" max="7" width="0.85546875" style="1" customWidth="1"/>
    <col min="8" max="8" width="2.42578125" style="1" customWidth="1"/>
    <col min="9" max="9" width="0.85546875" style="1" customWidth="1"/>
    <col min="10" max="10" width="4.7109375" style="1" customWidth="1"/>
    <col min="11" max="11" width="4.42578125" style="1" customWidth="1"/>
    <col min="12" max="12" width="0.85546875" style="1" customWidth="1"/>
    <col min="13" max="13" width="6.42578125" style="1" customWidth="1"/>
    <col min="14" max="14" width="3.140625" style="1" customWidth="1"/>
    <col min="15" max="15" width="3.42578125" style="1" customWidth="1"/>
    <col min="16" max="16" width="5" style="1" customWidth="1"/>
    <col min="17" max="17" width="0.85546875" style="1" customWidth="1"/>
    <col min="18" max="18" width="2.140625" style="1" customWidth="1"/>
    <col min="19" max="19" width="8.42578125" style="1" customWidth="1"/>
    <col min="20" max="20" width="3.140625" style="1" customWidth="1"/>
    <col min="21" max="21" width="4.140625" style="1" customWidth="1"/>
    <col min="22" max="22" width="4.42578125" style="1" customWidth="1"/>
    <col min="23" max="23" width="4" style="1" customWidth="1"/>
    <col min="24" max="24" width="3.42578125" style="1" customWidth="1"/>
    <col min="25" max="25" width="4.85546875" style="1" customWidth="1"/>
    <col min="26" max="26" width="9.5703125" style="1" customWidth="1"/>
    <col min="27" max="27" width="2" style="1" customWidth="1"/>
    <col min="28" max="28" width="4.28515625" style="1" customWidth="1"/>
    <col min="29" max="29" width="9.42578125" style="1" customWidth="1"/>
    <col min="30" max="30" width="2" style="1" customWidth="1"/>
    <col min="31" max="31" width="13.140625" style="1" customWidth="1"/>
    <col min="32" max="32" width="5.85546875" style="1" customWidth="1"/>
    <col min="33" max="16384" width="9.140625" style="1"/>
  </cols>
  <sheetData>
    <row r="1" spans="1:31" ht="19.5" customHeight="1" x14ac:dyDescent="0.25"/>
    <row r="2" spans="1:31" ht="19.5" customHeight="1" x14ac:dyDescent="0.25">
      <c r="B2" s="20" t="s">
        <v>115</v>
      </c>
    </row>
    <row r="3" spans="1:31" x14ac:dyDescent="0.25">
      <c r="B3" s="15" t="s">
        <v>70</v>
      </c>
      <c r="C3" s="117"/>
      <c r="D3" s="156" t="s">
        <v>63</v>
      </c>
      <c r="E3" s="153" t="s">
        <v>83</v>
      </c>
      <c r="G3" s="109"/>
      <c r="H3" s="1" t="s">
        <v>3</v>
      </c>
    </row>
    <row r="4" spans="1:31" ht="16.5" customHeight="1" x14ac:dyDescent="0.25">
      <c r="A4" s="36">
        <v>500</v>
      </c>
      <c r="B4" s="30" t="s">
        <v>96</v>
      </c>
      <c r="C4" s="31"/>
      <c r="D4" s="157">
        <f>A4*1000000</f>
        <v>500000000</v>
      </c>
      <c r="E4" s="152">
        <f>F4*1000000</f>
        <v>500000000</v>
      </c>
      <c r="F4" s="36">
        <v>500</v>
      </c>
      <c r="I4" s="14"/>
      <c r="J4" s="1" t="str">
        <f>"Proyek  "&amp;D3</f>
        <v>Proyek  ABC</v>
      </c>
      <c r="Q4" s="151"/>
      <c r="R4" s="1" t="str">
        <f>"Proyek "&amp;E3</f>
        <v>Proyek XYZ</v>
      </c>
    </row>
    <row r="5" spans="1:31" ht="16.5" customHeight="1" x14ac:dyDescent="0.25">
      <c r="A5" s="36">
        <v>200</v>
      </c>
      <c r="B5" s="30" t="s">
        <v>11</v>
      </c>
      <c r="C5" s="33">
        <v>1</v>
      </c>
      <c r="D5" s="157">
        <f t="shared" ref="D5:D9" si="0">A5*1000000</f>
        <v>200000000</v>
      </c>
      <c r="E5" s="152">
        <f t="shared" ref="E5:E9" si="1">F5*1000000</f>
        <v>150000000</v>
      </c>
      <c r="F5" s="36">
        <v>150</v>
      </c>
      <c r="L5" s="129" t="s">
        <v>13</v>
      </c>
      <c r="M5" s="350">
        <f>-D4</f>
        <v>-500000000</v>
      </c>
      <c r="N5" s="350"/>
      <c r="O5" s="350"/>
      <c r="P5" s="54"/>
      <c r="S5" s="129" t="s">
        <v>13</v>
      </c>
      <c r="T5" s="349">
        <f>-E4</f>
        <v>-500000000</v>
      </c>
      <c r="U5" s="349"/>
      <c r="V5" s="349"/>
      <c r="W5" s="349"/>
    </row>
    <row r="6" spans="1:31" ht="16.5" customHeight="1" x14ac:dyDescent="0.25">
      <c r="A6" s="36">
        <v>250</v>
      </c>
      <c r="B6" s="32"/>
      <c r="C6" s="33">
        <v>2</v>
      </c>
      <c r="D6" s="157">
        <f t="shared" si="0"/>
        <v>250000000</v>
      </c>
      <c r="E6" s="152">
        <f t="shared" si="1"/>
        <v>200000000</v>
      </c>
      <c r="F6" s="36">
        <v>200</v>
      </c>
      <c r="L6" s="129" t="s">
        <v>14</v>
      </c>
      <c r="M6" s="349">
        <f t="shared" ref="M6:M11" si="2">D5</f>
        <v>200000000</v>
      </c>
      <c r="N6" s="349"/>
      <c r="O6" s="349"/>
      <c r="P6" s="54"/>
      <c r="S6" s="129" t="s">
        <v>14</v>
      </c>
      <c r="T6" s="349">
        <f t="shared" ref="T6:T10" si="3">E5</f>
        <v>150000000</v>
      </c>
      <c r="U6" s="349"/>
      <c r="V6" s="349"/>
      <c r="W6" s="349"/>
    </row>
    <row r="7" spans="1:31" ht="16.5" customHeight="1" x14ac:dyDescent="0.25">
      <c r="A7" s="36">
        <v>300</v>
      </c>
      <c r="B7" s="32"/>
      <c r="C7" s="33">
        <v>3</v>
      </c>
      <c r="D7" s="157">
        <f t="shared" si="0"/>
        <v>300000000</v>
      </c>
      <c r="E7" s="152">
        <f t="shared" si="1"/>
        <v>325000000</v>
      </c>
      <c r="F7" s="36">
        <v>325</v>
      </c>
      <c r="L7" s="129" t="s">
        <v>15</v>
      </c>
      <c r="M7" s="349">
        <f t="shared" si="2"/>
        <v>250000000</v>
      </c>
      <c r="N7" s="349"/>
      <c r="O7" s="349"/>
      <c r="P7" s="54"/>
      <c r="S7" s="129" t="s">
        <v>15</v>
      </c>
      <c r="T7" s="349">
        <f t="shared" si="3"/>
        <v>200000000</v>
      </c>
      <c r="U7" s="349"/>
      <c r="V7" s="349"/>
      <c r="W7" s="349"/>
    </row>
    <row r="8" spans="1:31" ht="16.5" customHeight="1" x14ac:dyDescent="0.25">
      <c r="A8" s="36">
        <v>300</v>
      </c>
      <c r="B8" s="32"/>
      <c r="C8" s="33">
        <v>4</v>
      </c>
      <c r="D8" s="157">
        <f t="shared" si="0"/>
        <v>300000000</v>
      </c>
      <c r="E8" s="152">
        <f t="shared" si="1"/>
        <v>350000000</v>
      </c>
      <c r="F8" s="36">
        <v>350</v>
      </c>
      <c r="L8" s="129" t="s">
        <v>16</v>
      </c>
      <c r="M8" s="349">
        <f t="shared" si="2"/>
        <v>300000000</v>
      </c>
      <c r="N8" s="349"/>
      <c r="O8" s="349"/>
      <c r="P8" s="54"/>
      <c r="S8" s="129" t="s">
        <v>16</v>
      </c>
      <c r="T8" s="349">
        <f t="shared" si="3"/>
        <v>325000000</v>
      </c>
      <c r="U8" s="349"/>
      <c r="V8" s="349"/>
      <c r="W8" s="349"/>
    </row>
    <row r="9" spans="1:31" ht="16.5" customHeight="1" x14ac:dyDescent="0.25">
      <c r="A9" s="36">
        <v>250</v>
      </c>
      <c r="B9" s="309"/>
      <c r="C9" s="310">
        <v>5</v>
      </c>
      <c r="D9" s="311">
        <f t="shared" si="0"/>
        <v>250000000</v>
      </c>
      <c r="E9" s="312">
        <f t="shared" si="1"/>
        <v>375000000</v>
      </c>
      <c r="F9" s="36">
        <v>375</v>
      </c>
      <c r="L9" s="129" t="s">
        <v>17</v>
      </c>
      <c r="M9" s="349">
        <f t="shared" si="2"/>
        <v>300000000</v>
      </c>
      <c r="N9" s="349"/>
      <c r="O9" s="349"/>
      <c r="P9" s="54"/>
      <c r="S9" s="129" t="s">
        <v>17</v>
      </c>
      <c r="T9" s="349">
        <f t="shared" si="3"/>
        <v>350000000</v>
      </c>
      <c r="U9" s="349"/>
      <c r="V9" s="349"/>
      <c r="W9" s="349"/>
    </row>
    <row r="10" spans="1:31" ht="16.5" customHeight="1" x14ac:dyDescent="0.25">
      <c r="A10" s="36">
        <v>14</v>
      </c>
      <c r="B10" s="158" t="s">
        <v>171</v>
      </c>
      <c r="C10" s="159"/>
      <c r="D10" s="381">
        <f>A10/100</f>
        <v>0.14000000000000001</v>
      </c>
      <c r="E10" s="382"/>
      <c r="L10" s="129" t="s">
        <v>18</v>
      </c>
      <c r="M10" s="349">
        <f t="shared" si="2"/>
        <v>250000000</v>
      </c>
      <c r="N10" s="349"/>
      <c r="O10" s="349"/>
      <c r="P10" s="54"/>
      <c r="S10" s="129" t="s">
        <v>18</v>
      </c>
      <c r="T10" s="349">
        <f t="shared" si="3"/>
        <v>375000000</v>
      </c>
      <c r="U10" s="349"/>
      <c r="V10" s="349"/>
      <c r="W10" s="349"/>
    </row>
    <row r="11" spans="1:31" ht="16.5" customHeight="1" x14ac:dyDescent="0.25">
      <c r="L11" s="129" t="s">
        <v>4</v>
      </c>
      <c r="M11" s="128">
        <f t="shared" si="2"/>
        <v>0.14000000000000001</v>
      </c>
      <c r="S11" s="129" t="s">
        <v>4</v>
      </c>
      <c r="T11" s="379">
        <f>M11</f>
        <v>0.14000000000000001</v>
      </c>
      <c r="U11" s="379"/>
      <c r="V11" s="54"/>
      <c r="W11" s="54"/>
    </row>
    <row r="12" spans="1:31" ht="16.5" customHeight="1" x14ac:dyDescent="0.25">
      <c r="A12" s="36">
        <v>100</v>
      </c>
      <c r="B12" s="375" t="str">
        <f>"Proyek "&amp;D3&amp;" menghasilkan NPV "&amp;IF(NPV(D10,D5:D9)-D4&gt;0,"POSITIF (","NEGATIF (")&amp;TEXT(NPV(D10,D5:D9)-D4,"#.###")&amp;"), sehingga usulan proyek "&amp;IF(NPV(D10,D5:D9)-D4&gt;0,"DITERIMA","DITOLAK")</f>
        <v>Proyek ABC menghasilkan NPV POSITIF (377.763.183), sehingga usulan proyek DITERIMA</v>
      </c>
      <c r="C12" s="375"/>
      <c r="D12" s="375"/>
      <c r="E12" s="375"/>
    </row>
    <row r="13" spans="1:31" ht="18" x14ac:dyDescent="0.25">
      <c r="B13" s="375"/>
      <c r="C13" s="375"/>
      <c r="D13" s="375"/>
      <c r="E13" s="375"/>
      <c r="I13" s="14"/>
      <c r="J13" s="1" t="s">
        <v>0</v>
      </c>
      <c r="K13" s="154" t="str">
        <f>D3</f>
        <v>ABC</v>
      </c>
    </row>
    <row r="14" spans="1:31" ht="18" x14ac:dyDescent="0.25">
      <c r="K14" s="351" t="s">
        <v>6</v>
      </c>
      <c r="L14" s="351"/>
      <c r="M14" s="134" t="s">
        <v>20</v>
      </c>
      <c r="N14" s="361" t="s">
        <v>29</v>
      </c>
      <c r="O14" s="355" t="s">
        <v>21</v>
      </c>
      <c r="P14" s="355"/>
      <c r="Q14" s="361" t="s">
        <v>29</v>
      </c>
      <c r="R14" s="361"/>
      <c r="S14" s="134" t="s">
        <v>22</v>
      </c>
      <c r="T14" s="361" t="s">
        <v>29</v>
      </c>
      <c r="U14" s="355" t="s">
        <v>23</v>
      </c>
      <c r="V14" s="355"/>
      <c r="W14" s="361" t="s">
        <v>29</v>
      </c>
      <c r="X14" s="355" t="s">
        <v>24</v>
      </c>
      <c r="Y14" s="355"/>
      <c r="Z14" s="352" t="s">
        <v>9</v>
      </c>
      <c r="AA14" s="133"/>
    </row>
    <row r="15" spans="1:31" ht="17.25" x14ac:dyDescent="0.25">
      <c r="B15" s="375" t="str">
        <f>"Proyek "&amp;E3&amp;" menghasilkan NPV "&amp;IF(NPV(D10,E5:E9)-E4&gt;0,"POSITIF (","NEGATIF (")&amp;TEXT(NPV(D10,E5:E9)-E4,"#.###")&amp;"), sehingga usulan proyek "&amp;IF(NPV(D10,E5:E9)-E4&gt;0,"DITERIMA","DITOLAK")</f>
        <v>Proyek XYZ menghasilkan NPV POSITIF (406.829.542), sehingga usulan proyek DITERIMA</v>
      </c>
      <c r="C15" s="375"/>
      <c r="D15" s="375"/>
      <c r="E15" s="375"/>
      <c r="K15" s="351"/>
      <c r="L15" s="351"/>
      <c r="M15" s="1" t="s">
        <v>44</v>
      </c>
      <c r="N15" s="361"/>
      <c r="O15" s="1" t="s">
        <v>45</v>
      </c>
      <c r="Q15" s="361"/>
      <c r="R15" s="361"/>
      <c r="S15" s="1" t="s">
        <v>46</v>
      </c>
      <c r="T15" s="361"/>
      <c r="U15" s="1" t="s">
        <v>47</v>
      </c>
      <c r="W15" s="361"/>
      <c r="X15" s="1" t="s">
        <v>48</v>
      </c>
      <c r="Z15" s="352"/>
      <c r="AA15" s="133"/>
    </row>
    <row r="16" spans="1:31" x14ac:dyDescent="0.25">
      <c r="B16" s="375"/>
      <c r="C16" s="375"/>
      <c r="D16" s="375"/>
      <c r="E16" s="375"/>
      <c r="K16" s="351" t="s">
        <v>6</v>
      </c>
      <c r="L16" s="351"/>
      <c r="M16" s="362">
        <f>M6</f>
        <v>200000000</v>
      </c>
      <c r="N16" s="362"/>
      <c r="O16" s="362"/>
      <c r="P16" s="361" t="s">
        <v>29</v>
      </c>
      <c r="Q16" s="362">
        <f>M7</f>
        <v>250000000</v>
      </c>
      <c r="R16" s="362"/>
      <c r="S16" s="362"/>
      <c r="T16" s="362"/>
      <c r="U16" s="361" t="s">
        <v>29</v>
      </c>
      <c r="V16" s="362">
        <f>M8</f>
        <v>300000000</v>
      </c>
      <c r="W16" s="362"/>
      <c r="X16" s="362"/>
      <c r="Y16" s="350" t="s">
        <v>29</v>
      </c>
      <c r="Z16" s="362">
        <f>M9</f>
        <v>300000000</v>
      </c>
      <c r="AA16" s="362"/>
      <c r="AB16" s="361" t="s">
        <v>29</v>
      </c>
      <c r="AC16" s="362">
        <f>M10</f>
        <v>250000000</v>
      </c>
      <c r="AD16" s="362"/>
      <c r="AE16" s="349">
        <f>M5</f>
        <v>-500000000</v>
      </c>
    </row>
    <row r="17" spans="9:31" ht="17.25" x14ac:dyDescent="0.25">
      <c r="K17" s="351"/>
      <c r="L17" s="351"/>
      <c r="M17" s="356" t="str">
        <f>"1 + "&amp;TEXT($D$10,"0,0##")</f>
        <v>1 + 0,14</v>
      </c>
      <c r="N17" s="356"/>
      <c r="O17" s="356"/>
      <c r="P17" s="361"/>
      <c r="Q17" s="370" t="str">
        <f>"(1 + "&amp;TEXT($D$10,"0,0##")&amp;")"</f>
        <v>(1 + 0,14)</v>
      </c>
      <c r="R17" s="370"/>
      <c r="S17" s="370"/>
      <c r="T17" s="127">
        <v>2</v>
      </c>
      <c r="U17" s="361"/>
      <c r="V17" s="370" t="str">
        <f>"(1 + "&amp;TEXT($D$10,"0,0##")&amp;")"</f>
        <v>(1 + 0,14)</v>
      </c>
      <c r="W17" s="370"/>
      <c r="X17" s="127">
        <v>3</v>
      </c>
      <c r="Y17" s="350"/>
      <c r="Z17" s="27" t="str">
        <f>"(1 + "&amp;TEXT($D$10,"0,0##")&amp;")"</f>
        <v>(1 + 0,14)</v>
      </c>
      <c r="AA17" s="126">
        <v>4</v>
      </c>
      <c r="AB17" s="361"/>
      <c r="AC17" s="27" t="str">
        <f>"(1 + "&amp;TEXT($D$10,"0,0##")&amp;")"</f>
        <v>(1 + 0,14)</v>
      </c>
      <c r="AD17" s="126">
        <v>5</v>
      </c>
      <c r="AE17" s="353"/>
    </row>
    <row r="18" spans="9:31" ht="17.25" x14ac:dyDescent="0.25">
      <c r="K18" s="129"/>
      <c r="L18" s="129" t="s">
        <v>6</v>
      </c>
      <c r="M18" s="380">
        <f>M16/(1+$D$10)+Q16/(1+$D$10)^2+V16/(1+$D$10)^3+Z16/(1+$D$10)^4+AC16/(1+$D$10)^5-D4</f>
        <v>377763182.77041817</v>
      </c>
      <c r="N18" s="371"/>
      <c r="O18" s="371"/>
      <c r="P18" s="130"/>
      <c r="Q18" s="27"/>
      <c r="R18" s="27"/>
      <c r="S18" s="27"/>
      <c r="T18" s="126"/>
      <c r="U18" s="130"/>
      <c r="V18" s="27"/>
      <c r="W18" s="27"/>
      <c r="X18" s="126"/>
      <c r="Y18" s="132"/>
      <c r="Z18" s="27"/>
      <c r="AA18" s="126"/>
      <c r="AB18" s="130"/>
      <c r="AC18" s="27"/>
      <c r="AD18" s="126"/>
      <c r="AE18" s="131"/>
    </row>
    <row r="20" spans="9:31" ht="18" x14ac:dyDescent="0.25">
      <c r="I20" s="151"/>
      <c r="J20" s="1" t="s">
        <v>116</v>
      </c>
      <c r="K20" s="154" t="str">
        <f>K13</f>
        <v>ABC</v>
      </c>
      <c r="L20" s="1" t="s">
        <v>117</v>
      </c>
    </row>
    <row r="21" spans="9:31" x14ac:dyDescent="0.25">
      <c r="K21" s="129" t="s">
        <v>6</v>
      </c>
      <c r="L21" s="7" t="s">
        <v>31</v>
      </c>
    </row>
    <row r="22" spans="9:31" x14ac:dyDescent="0.25">
      <c r="K22" s="129" t="s">
        <v>6</v>
      </c>
      <c r="L22" s="360">
        <f>NPV(M11,M6:O10)-D4</f>
        <v>377763182.77041817</v>
      </c>
      <c r="M22" s="360"/>
      <c r="N22" s="360"/>
      <c r="O22" s="360"/>
      <c r="P22" s="114" t="s">
        <v>118</v>
      </c>
      <c r="Q22" s="114"/>
      <c r="R22" s="114"/>
      <c r="S22" s="114"/>
      <c r="T22" s="114"/>
      <c r="U22" s="114"/>
      <c r="V22" s="114"/>
    </row>
    <row r="23" spans="9:31" x14ac:dyDescent="0.25">
      <c r="J23" s="129"/>
      <c r="K23" s="129"/>
      <c r="L23" s="383">
        <f>NPV(D10,D5:D9)-D4</f>
        <v>377763182.77041817</v>
      </c>
      <c r="M23" s="383"/>
      <c r="N23" s="383"/>
      <c r="O23" s="383"/>
      <c r="Q23" s="29"/>
      <c r="R23" s="29"/>
      <c r="S23" s="29"/>
      <c r="T23" s="29"/>
    </row>
    <row r="24" spans="9:31" ht="18" x14ac:dyDescent="0.25">
      <c r="I24" s="151"/>
      <c r="J24" s="1" t="s">
        <v>116</v>
      </c>
      <c r="K24" s="154" t="str">
        <f>E3</f>
        <v>XYZ</v>
      </c>
    </row>
    <row r="25" spans="9:31" ht="18" x14ac:dyDescent="0.25">
      <c r="J25" s="129"/>
      <c r="K25" s="351" t="s">
        <v>6</v>
      </c>
      <c r="L25" s="351"/>
      <c r="M25" s="134" t="s">
        <v>20</v>
      </c>
      <c r="N25" s="361" t="s">
        <v>29</v>
      </c>
      <c r="O25" s="355" t="s">
        <v>21</v>
      </c>
      <c r="P25" s="355"/>
      <c r="Q25" s="361" t="s">
        <v>29</v>
      </c>
      <c r="R25" s="361"/>
      <c r="S25" s="134" t="s">
        <v>22</v>
      </c>
      <c r="T25" s="361" t="s">
        <v>29</v>
      </c>
      <c r="U25" s="355" t="s">
        <v>23</v>
      </c>
      <c r="V25" s="355"/>
      <c r="W25" s="361" t="s">
        <v>29</v>
      </c>
      <c r="X25" s="355" t="s">
        <v>24</v>
      </c>
      <c r="Y25" s="355"/>
      <c r="Z25" s="352" t="s">
        <v>9</v>
      </c>
      <c r="AA25" s="133"/>
    </row>
    <row r="26" spans="9:31" ht="17.25" x14ac:dyDescent="0.25">
      <c r="J26" s="129"/>
      <c r="K26" s="351"/>
      <c r="L26" s="351"/>
      <c r="M26" s="1" t="s">
        <v>44</v>
      </c>
      <c r="N26" s="361"/>
      <c r="O26" s="1" t="s">
        <v>45</v>
      </c>
      <c r="Q26" s="361"/>
      <c r="R26" s="361"/>
      <c r="S26" s="1" t="s">
        <v>46</v>
      </c>
      <c r="T26" s="361"/>
      <c r="U26" s="1" t="s">
        <v>47</v>
      </c>
      <c r="W26" s="361"/>
      <c r="X26" s="1" t="s">
        <v>48</v>
      </c>
      <c r="Z26" s="352"/>
      <c r="AA26" s="133"/>
    </row>
    <row r="27" spans="9:31" x14ac:dyDescent="0.25">
      <c r="J27" s="129"/>
      <c r="K27" s="351" t="s">
        <v>6</v>
      </c>
      <c r="L27" s="351"/>
      <c r="M27" s="362">
        <f>T6</f>
        <v>150000000</v>
      </c>
      <c r="N27" s="362"/>
      <c r="O27" s="362"/>
      <c r="P27" s="361" t="s">
        <v>29</v>
      </c>
      <c r="Q27" s="362">
        <f>T7</f>
        <v>200000000</v>
      </c>
      <c r="R27" s="362"/>
      <c r="S27" s="362"/>
      <c r="T27" s="362"/>
      <c r="U27" s="361" t="s">
        <v>29</v>
      </c>
      <c r="V27" s="362">
        <f>T8</f>
        <v>325000000</v>
      </c>
      <c r="W27" s="362"/>
      <c r="X27" s="362"/>
      <c r="Y27" s="350" t="s">
        <v>29</v>
      </c>
      <c r="Z27" s="362">
        <f>T9</f>
        <v>350000000</v>
      </c>
      <c r="AA27" s="362"/>
      <c r="AB27" s="361" t="s">
        <v>29</v>
      </c>
      <c r="AC27" s="362">
        <f>T10</f>
        <v>375000000</v>
      </c>
      <c r="AD27" s="362"/>
      <c r="AE27" s="349">
        <f>T5</f>
        <v>-500000000</v>
      </c>
    </row>
    <row r="28" spans="9:31" ht="17.25" x14ac:dyDescent="0.25">
      <c r="J28" s="129"/>
      <c r="K28" s="351"/>
      <c r="L28" s="351"/>
      <c r="M28" s="356" t="str">
        <f>"1 + "&amp;TEXT($D$10,"0,0##")</f>
        <v>1 + 0,14</v>
      </c>
      <c r="N28" s="356"/>
      <c r="O28" s="356"/>
      <c r="P28" s="361"/>
      <c r="Q28" s="370" t="str">
        <f>"(1 + "&amp;TEXT($D$10,"0,0##")&amp;")"</f>
        <v>(1 + 0,14)</v>
      </c>
      <c r="R28" s="370"/>
      <c r="S28" s="370"/>
      <c r="T28" s="127">
        <v>2</v>
      </c>
      <c r="U28" s="361"/>
      <c r="V28" s="370" t="str">
        <f>"(1 + "&amp;TEXT($D$10,"0,0##")&amp;")"</f>
        <v>(1 + 0,14)</v>
      </c>
      <c r="W28" s="370"/>
      <c r="X28" s="127">
        <v>3</v>
      </c>
      <c r="Y28" s="350"/>
      <c r="Z28" s="27" t="str">
        <f>"(1 + "&amp;TEXT($D$10,"0,0##")&amp;")"</f>
        <v>(1 + 0,14)</v>
      </c>
      <c r="AA28" s="126">
        <v>4</v>
      </c>
      <c r="AB28" s="361"/>
      <c r="AC28" s="27" t="str">
        <f>"(1 + "&amp;TEXT($D$10,"0,0##")&amp;")"</f>
        <v>(1 + 0,14)</v>
      </c>
      <c r="AD28" s="126">
        <v>5</v>
      </c>
      <c r="AE28" s="353"/>
    </row>
    <row r="29" spans="9:31" ht="17.25" x14ac:dyDescent="0.25">
      <c r="J29" s="129"/>
      <c r="K29" s="129"/>
      <c r="L29" s="129" t="s">
        <v>6</v>
      </c>
      <c r="M29" s="380">
        <f>M27/(1+$D$10)+Q27/(1+$D$10)^2+V27/(1+$D$10)^3+Z27/(1+$D$10)^4+AC27/(1+$D$10)^5-E4</f>
        <v>406829542.04263294</v>
      </c>
      <c r="N29" s="371"/>
      <c r="O29" s="371"/>
      <c r="P29" s="130"/>
      <c r="Q29" s="27"/>
      <c r="R29" s="27"/>
      <c r="S29" s="27"/>
      <c r="T29" s="126"/>
      <c r="U29" s="130"/>
      <c r="V29" s="27"/>
      <c r="W29" s="27"/>
      <c r="X29" s="126"/>
      <c r="Y29" s="132"/>
      <c r="Z29" s="27"/>
      <c r="AA29" s="126"/>
      <c r="AB29" s="130"/>
      <c r="AC29" s="27"/>
      <c r="AD29" s="126"/>
      <c r="AE29" s="131"/>
    </row>
    <row r="30" spans="9:31" ht="17.25" x14ac:dyDescent="0.25">
      <c r="J30" s="129"/>
      <c r="K30" s="129"/>
      <c r="L30" s="129"/>
      <c r="M30" s="155"/>
      <c r="N30" s="137"/>
      <c r="O30" s="137"/>
      <c r="P30" s="130"/>
      <c r="Q30" s="27"/>
      <c r="R30" s="27"/>
      <c r="S30" s="27"/>
      <c r="T30" s="126"/>
      <c r="U30" s="130"/>
      <c r="V30" s="27"/>
      <c r="W30" s="27"/>
      <c r="X30" s="126"/>
      <c r="Y30" s="132"/>
      <c r="Z30" s="27"/>
      <c r="AA30" s="126"/>
      <c r="AB30" s="130"/>
      <c r="AC30" s="27"/>
      <c r="AD30" s="126"/>
      <c r="AE30" s="131"/>
    </row>
    <row r="31" spans="9:31" ht="18" x14ac:dyDescent="0.25">
      <c r="I31" s="151"/>
      <c r="J31" s="1" t="s">
        <v>116</v>
      </c>
      <c r="K31" s="154" t="str">
        <f>K24</f>
        <v>XYZ</v>
      </c>
      <c r="L31" s="1" t="s">
        <v>117</v>
      </c>
    </row>
    <row r="32" spans="9:31" x14ac:dyDescent="0.25">
      <c r="K32" s="129" t="s">
        <v>6</v>
      </c>
      <c r="L32" s="7" t="s">
        <v>31</v>
      </c>
    </row>
    <row r="33" spans="7:20" x14ac:dyDescent="0.25">
      <c r="K33" s="129" t="s">
        <v>6</v>
      </c>
      <c r="L33" s="360">
        <f>NPV(T11,T6:W10)+T5</f>
        <v>406829542.04263306</v>
      </c>
      <c r="M33" s="360"/>
      <c r="N33" s="360"/>
      <c r="O33" s="360"/>
      <c r="P33" s="349" t="s">
        <v>119</v>
      </c>
      <c r="Q33" s="360"/>
      <c r="R33" s="360"/>
      <c r="S33" s="360"/>
      <c r="T33" s="52"/>
    </row>
    <row r="34" spans="7:20" x14ac:dyDescent="0.25">
      <c r="J34" s="129"/>
      <c r="K34" s="129"/>
      <c r="L34" s="129"/>
      <c r="M34" s="135"/>
      <c r="N34" s="136"/>
      <c r="O34" s="136"/>
      <c r="Q34" s="29"/>
      <c r="R34" s="29"/>
      <c r="S34" s="29"/>
      <c r="T34" s="29"/>
    </row>
    <row r="35" spans="7:20" x14ac:dyDescent="0.25">
      <c r="G35" s="109"/>
      <c r="H35" s="131" t="s">
        <v>34</v>
      </c>
      <c r="L35" s="135"/>
      <c r="M35" s="39" t="str">
        <f>IF(L22&gt;0,"- NPV proyek "&amp;D3&amp;" &gt; 0, usulan diterima"," NPV proyek "&amp;D3&amp;" negatif, usulan ditolak")</f>
        <v>- NPV proyek ABC &gt; 0, usulan diterima</v>
      </c>
      <c r="O35" s="136"/>
      <c r="Q35" s="29"/>
      <c r="R35" s="29"/>
      <c r="S35" s="29"/>
      <c r="T35" s="29"/>
    </row>
    <row r="36" spans="7:20" x14ac:dyDescent="0.25">
      <c r="I36" s="62"/>
      <c r="J36" s="131"/>
      <c r="L36" s="135"/>
      <c r="M36" s="39" t="str">
        <f>IF(L33&gt;0,"- NPV proyek "&amp;E3&amp;" &gt; 0, usulan diterima"," NPV proyek "&amp;E3&amp;" negatif, usulan ditolak")</f>
        <v>- NPV proyek XYZ &gt; 0, usulan diterima</v>
      </c>
      <c r="O36" s="136"/>
      <c r="Q36" s="29"/>
      <c r="R36" s="29"/>
      <c r="S36" s="29"/>
      <c r="T36" s="29"/>
    </row>
    <row r="37" spans="7:20" ht="19.5" customHeight="1" x14ac:dyDescent="0.25"/>
  </sheetData>
  <mergeCells count="68">
    <mergeCell ref="D10:E10"/>
    <mergeCell ref="L23:O23"/>
    <mergeCell ref="B12:E13"/>
    <mergeCell ref="B15:E16"/>
    <mergeCell ref="M10:O10"/>
    <mergeCell ref="M5:O5"/>
    <mergeCell ref="M6:O6"/>
    <mergeCell ref="M7:O7"/>
    <mergeCell ref="M8:O8"/>
    <mergeCell ref="M9:O9"/>
    <mergeCell ref="AE16:AE17"/>
    <mergeCell ref="M17:O17"/>
    <mergeCell ref="Q17:S17"/>
    <mergeCell ref="V17:W17"/>
    <mergeCell ref="W14:W15"/>
    <mergeCell ref="X14:Y14"/>
    <mergeCell ref="Z14:Z15"/>
    <mergeCell ref="M16:O16"/>
    <mergeCell ref="P16:P17"/>
    <mergeCell ref="Q16:T16"/>
    <mergeCell ref="U16:U17"/>
    <mergeCell ref="V16:X16"/>
    <mergeCell ref="Y16:Y17"/>
    <mergeCell ref="N14:N15"/>
    <mergeCell ref="O14:P14"/>
    <mergeCell ref="U14:V14"/>
    <mergeCell ref="AE27:AE28"/>
    <mergeCell ref="M28:O28"/>
    <mergeCell ref="Q28:S28"/>
    <mergeCell ref="V28:W28"/>
    <mergeCell ref="U25:V25"/>
    <mergeCell ref="W25:W26"/>
    <mergeCell ref="X25:Y25"/>
    <mergeCell ref="Z25:Z26"/>
    <mergeCell ref="M27:O27"/>
    <mergeCell ref="P27:P28"/>
    <mergeCell ref="Q27:T27"/>
    <mergeCell ref="U27:U28"/>
    <mergeCell ref="V27:X27"/>
    <mergeCell ref="N25:N26"/>
    <mergeCell ref="O25:P25"/>
    <mergeCell ref="Q25:R26"/>
    <mergeCell ref="T10:W10"/>
    <mergeCell ref="Y27:Y28"/>
    <mergeCell ref="Z27:AA27"/>
    <mergeCell ref="AB27:AB28"/>
    <mergeCell ref="AC27:AD27"/>
    <mergeCell ref="T14:T15"/>
    <mergeCell ref="T25:T26"/>
    <mergeCell ref="Z16:AA16"/>
    <mergeCell ref="AB16:AB17"/>
    <mergeCell ref="AC16:AD16"/>
    <mergeCell ref="T5:W5"/>
    <mergeCell ref="T6:W6"/>
    <mergeCell ref="T7:W7"/>
    <mergeCell ref="T8:W8"/>
    <mergeCell ref="T9:W9"/>
    <mergeCell ref="L33:O33"/>
    <mergeCell ref="T11:U11"/>
    <mergeCell ref="P33:S33"/>
    <mergeCell ref="M29:O29"/>
    <mergeCell ref="K27:L28"/>
    <mergeCell ref="M18:O18"/>
    <mergeCell ref="L22:O22"/>
    <mergeCell ref="Q14:R15"/>
    <mergeCell ref="K25:L26"/>
    <mergeCell ref="K16:L17"/>
    <mergeCell ref="K14:L15"/>
  </mergeCell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Scroll Bar 1">
              <controlPr defaultSize="0" autoPict="0">
                <anchor moveWithCells="1">
                  <from>
                    <xdr:col>3</xdr:col>
                    <xdr:colOff>66675</xdr:colOff>
                    <xdr:row>4</xdr:row>
                    <xdr:rowOff>9525</xdr:rowOff>
                  </from>
                  <to>
                    <xdr:col>3</xdr:col>
                    <xdr:colOff>552450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Scroll Bar 2">
              <controlPr defaultSize="0" autoPict="0">
                <anchor moveWithCells="1">
                  <from>
                    <xdr:col>3</xdr:col>
                    <xdr:colOff>66675</xdr:colOff>
                    <xdr:row>3</xdr:row>
                    <xdr:rowOff>9525</xdr:rowOff>
                  </from>
                  <to>
                    <xdr:col>3</xdr:col>
                    <xdr:colOff>552450</xdr:colOff>
                    <xdr:row>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Scroll Bar 3">
              <controlPr defaultSize="0" autoPict="0">
                <anchor moveWithCells="1">
                  <from>
                    <xdr:col>3</xdr:col>
                    <xdr:colOff>66675</xdr:colOff>
                    <xdr:row>5</xdr:row>
                    <xdr:rowOff>9525</xdr:rowOff>
                  </from>
                  <to>
                    <xdr:col>3</xdr:col>
                    <xdr:colOff>552450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7" name="Scroll Bar 4">
              <controlPr defaultSize="0" autoPict="0">
                <anchor moveWithCells="1">
                  <from>
                    <xdr:col>3</xdr:col>
                    <xdr:colOff>66675</xdr:colOff>
                    <xdr:row>6</xdr:row>
                    <xdr:rowOff>9525</xdr:rowOff>
                  </from>
                  <to>
                    <xdr:col>3</xdr:col>
                    <xdr:colOff>552450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8" name="Scroll Bar 5">
              <controlPr defaultSize="0" autoPict="0">
                <anchor moveWithCells="1">
                  <from>
                    <xdr:col>3</xdr:col>
                    <xdr:colOff>66675</xdr:colOff>
                    <xdr:row>7</xdr:row>
                    <xdr:rowOff>9525</xdr:rowOff>
                  </from>
                  <to>
                    <xdr:col>3</xdr:col>
                    <xdr:colOff>552450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8" r:id="rId9" name="Scroll Bar 6">
              <controlPr defaultSize="0" autoPict="0">
                <anchor moveWithCells="1">
                  <from>
                    <xdr:col>3</xdr:col>
                    <xdr:colOff>66675</xdr:colOff>
                    <xdr:row>8</xdr:row>
                    <xdr:rowOff>9525</xdr:rowOff>
                  </from>
                  <to>
                    <xdr:col>3</xdr:col>
                    <xdr:colOff>552450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9" r:id="rId10" name="Scroll Bar 7">
              <controlPr defaultSize="0" autoPict="0">
                <anchor moveWithCells="1">
                  <from>
                    <xdr:col>3</xdr:col>
                    <xdr:colOff>771525</xdr:colOff>
                    <xdr:row>9</xdr:row>
                    <xdr:rowOff>28575</xdr:rowOff>
                  </from>
                  <to>
                    <xdr:col>3</xdr:col>
                    <xdr:colOff>1257300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1" r:id="rId11" name="Scroll Bar 9">
              <controlPr defaultSize="0" autoPict="0">
                <anchor moveWithCells="1">
                  <from>
                    <xdr:col>4</xdr:col>
                    <xdr:colOff>66675</xdr:colOff>
                    <xdr:row>3</xdr:row>
                    <xdr:rowOff>9525</xdr:rowOff>
                  </from>
                  <to>
                    <xdr:col>4</xdr:col>
                    <xdr:colOff>552450</xdr:colOff>
                    <xdr:row>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2" r:id="rId12" name="Scroll Bar 10">
              <controlPr defaultSize="0" autoPict="0">
                <anchor moveWithCells="1">
                  <from>
                    <xdr:col>4</xdr:col>
                    <xdr:colOff>66675</xdr:colOff>
                    <xdr:row>4</xdr:row>
                    <xdr:rowOff>9525</xdr:rowOff>
                  </from>
                  <to>
                    <xdr:col>4</xdr:col>
                    <xdr:colOff>552450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3" r:id="rId13" name="Scroll Bar 11">
              <controlPr defaultSize="0" autoPict="0">
                <anchor moveWithCells="1">
                  <from>
                    <xdr:col>4</xdr:col>
                    <xdr:colOff>66675</xdr:colOff>
                    <xdr:row>5</xdr:row>
                    <xdr:rowOff>9525</xdr:rowOff>
                  </from>
                  <to>
                    <xdr:col>4</xdr:col>
                    <xdr:colOff>552450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4" r:id="rId14" name="Scroll Bar 12">
              <controlPr defaultSize="0" autoPict="0">
                <anchor moveWithCells="1">
                  <from>
                    <xdr:col>4</xdr:col>
                    <xdr:colOff>66675</xdr:colOff>
                    <xdr:row>6</xdr:row>
                    <xdr:rowOff>9525</xdr:rowOff>
                  </from>
                  <to>
                    <xdr:col>4</xdr:col>
                    <xdr:colOff>552450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5" r:id="rId15" name="Scroll Bar 13">
              <controlPr defaultSize="0" autoPict="0">
                <anchor moveWithCells="1">
                  <from>
                    <xdr:col>4</xdr:col>
                    <xdr:colOff>66675</xdr:colOff>
                    <xdr:row>7</xdr:row>
                    <xdr:rowOff>9525</xdr:rowOff>
                  </from>
                  <to>
                    <xdr:col>4</xdr:col>
                    <xdr:colOff>552450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6" r:id="rId16" name="Scroll Bar 14">
              <controlPr defaultSize="0" autoPict="0">
                <anchor moveWithCells="1">
                  <from>
                    <xdr:col>4</xdr:col>
                    <xdr:colOff>66675</xdr:colOff>
                    <xdr:row>8</xdr:row>
                    <xdr:rowOff>9525</xdr:rowOff>
                  </from>
                  <to>
                    <xdr:col>4</xdr:col>
                    <xdr:colOff>552450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8" r:id="rId17" name="Scroll Bar 16">
              <controlPr defaultSize="0" autoPict="0">
                <anchor moveWithCells="1">
                  <from>
                    <xdr:col>3</xdr:col>
                    <xdr:colOff>66675</xdr:colOff>
                    <xdr:row>8</xdr:row>
                    <xdr:rowOff>9525</xdr:rowOff>
                  </from>
                  <to>
                    <xdr:col>3</xdr:col>
                    <xdr:colOff>552450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9" r:id="rId18" name="Scroll Bar 17">
              <controlPr defaultSize="0" autoPict="0">
                <anchor moveWithCells="1">
                  <from>
                    <xdr:col>3</xdr:col>
                    <xdr:colOff>66675</xdr:colOff>
                    <xdr:row>4</xdr:row>
                    <xdr:rowOff>9525</xdr:rowOff>
                  </from>
                  <to>
                    <xdr:col>3</xdr:col>
                    <xdr:colOff>552450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0" r:id="rId19" name="Scroll Bar 18">
              <controlPr defaultSize="0" autoPict="0">
                <anchor moveWithCells="1">
                  <from>
                    <xdr:col>3</xdr:col>
                    <xdr:colOff>66675</xdr:colOff>
                    <xdr:row>5</xdr:row>
                    <xdr:rowOff>9525</xdr:rowOff>
                  </from>
                  <to>
                    <xdr:col>3</xdr:col>
                    <xdr:colOff>552450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1" r:id="rId20" name="Scroll Bar 19">
              <controlPr defaultSize="0" autoPict="0">
                <anchor moveWithCells="1">
                  <from>
                    <xdr:col>3</xdr:col>
                    <xdr:colOff>66675</xdr:colOff>
                    <xdr:row>6</xdr:row>
                    <xdr:rowOff>9525</xdr:rowOff>
                  </from>
                  <to>
                    <xdr:col>3</xdr:col>
                    <xdr:colOff>552450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2" r:id="rId21" name="Scroll Bar 20">
              <controlPr defaultSize="0" autoPict="0">
                <anchor moveWithCells="1">
                  <from>
                    <xdr:col>3</xdr:col>
                    <xdr:colOff>66675</xdr:colOff>
                    <xdr:row>7</xdr:row>
                    <xdr:rowOff>9525</xdr:rowOff>
                  </from>
                  <to>
                    <xdr:col>3</xdr:col>
                    <xdr:colOff>552450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3" r:id="rId22" name="Scroll Bar 21">
              <controlPr defaultSize="0" autoPict="0">
                <anchor moveWithCells="1">
                  <from>
                    <xdr:col>3</xdr:col>
                    <xdr:colOff>66675</xdr:colOff>
                    <xdr:row>8</xdr:row>
                    <xdr:rowOff>9525</xdr:rowOff>
                  </from>
                  <to>
                    <xdr:col>3</xdr:col>
                    <xdr:colOff>552450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4" r:id="rId23" name="Scroll Bar 22">
              <controlPr defaultSize="0" autoPict="0">
                <anchor moveWithCells="1">
                  <from>
                    <xdr:col>4</xdr:col>
                    <xdr:colOff>66675</xdr:colOff>
                    <xdr:row>4</xdr:row>
                    <xdr:rowOff>9525</xdr:rowOff>
                  </from>
                  <to>
                    <xdr:col>4</xdr:col>
                    <xdr:colOff>552450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5" r:id="rId24" name="Scroll Bar 23">
              <controlPr defaultSize="0" autoPict="0">
                <anchor moveWithCells="1">
                  <from>
                    <xdr:col>4</xdr:col>
                    <xdr:colOff>66675</xdr:colOff>
                    <xdr:row>5</xdr:row>
                    <xdr:rowOff>9525</xdr:rowOff>
                  </from>
                  <to>
                    <xdr:col>4</xdr:col>
                    <xdr:colOff>552450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6" r:id="rId25" name="Scroll Bar 24">
              <controlPr defaultSize="0" autoPict="0">
                <anchor moveWithCells="1">
                  <from>
                    <xdr:col>4</xdr:col>
                    <xdr:colOff>66675</xdr:colOff>
                    <xdr:row>6</xdr:row>
                    <xdr:rowOff>9525</xdr:rowOff>
                  </from>
                  <to>
                    <xdr:col>4</xdr:col>
                    <xdr:colOff>552450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7" r:id="rId26" name="Scroll Bar 25">
              <controlPr defaultSize="0" autoPict="0">
                <anchor moveWithCells="1">
                  <from>
                    <xdr:col>4</xdr:col>
                    <xdr:colOff>66675</xdr:colOff>
                    <xdr:row>7</xdr:row>
                    <xdr:rowOff>9525</xdr:rowOff>
                  </from>
                  <to>
                    <xdr:col>4</xdr:col>
                    <xdr:colOff>552450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8" r:id="rId27" name="Scroll Bar 26">
              <controlPr defaultSize="0" autoPict="0">
                <anchor moveWithCells="1">
                  <from>
                    <xdr:col>4</xdr:col>
                    <xdr:colOff>66675</xdr:colOff>
                    <xdr:row>8</xdr:row>
                    <xdr:rowOff>9525</xdr:rowOff>
                  </from>
                  <to>
                    <xdr:col>4</xdr:col>
                    <xdr:colOff>552450</xdr:colOff>
                    <xdr:row>8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5"/>
  <sheetViews>
    <sheetView showGridLines="0" workbookViewId="0">
      <selection activeCell="H14" sqref="H14"/>
    </sheetView>
  </sheetViews>
  <sheetFormatPr defaultRowHeight="15" x14ac:dyDescent="0.25"/>
  <cols>
    <col min="1" max="1" width="5.85546875" style="1" customWidth="1"/>
    <col min="2" max="2" width="9.140625" style="1"/>
    <col min="3" max="3" width="19.7109375" style="1" customWidth="1"/>
    <col min="4" max="4" width="8.5703125" style="1" customWidth="1"/>
    <col min="5" max="5" width="4.28515625" style="1" customWidth="1"/>
    <col min="6" max="6" width="0.85546875" style="1" customWidth="1"/>
    <col min="7" max="7" width="7.85546875" style="1" customWidth="1"/>
    <col min="8" max="8" width="22.140625" style="1" customWidth="1"/>
    <col min="9" max="9" width="5.85546875" style="1" customWidth="1"/>
    <col min="10" max="16384" width="9.140625" style="1"/>
  </cols>
  <sheetData>
    <row r="1" spans="1:8" ht="19.5" customHeight="1" x14ac:dyDescent="0.25"/>
    <row r="2" spans="1:8" ht="18.75" x14ac:dyDescent="0.25">
      <c r="B2" s="20" t="s">
        <v>161</v>
      </c>
    </row>
    <row r="3" spans="1:8" ht="18" customHeight="1" x14ac:dyDescent="0.25">
      <c r="A3" s="36">
        <v>55</v>
      </c>
      <c r="B3" s="30" t="s">
        <v>162</v>
      </c>
      <c r="C3" s="31"/>
      <c r="D3" s="183">
        <f>A3/100</f>
        <v>0.55000000000000004</v>
      </c>
      <c r="F3" s="14"/>
      <c r="G3" s="1" t="s">
        <v>3</v>
      </c>
    </row>
    <row r="4" spans="1:8" ht="18" customHeight="1" x14ac:dyDescent="0.25">
      <c r="A4" s="36">
        <v>15</v>
      </c>
      <c r="B4" s="30" t="s">
        <v>163</v>
      </c>
      <c r="C4" s="31"/>
      <c r="D4" s="183">
        <f t="shared" ref="D4:D6" si="0">A4/100</f>
        <v>0.15</v>
      </c>
      <c r="G4" s="161" t="s">
        <v>164</v>
      </c>
      <c r="H4" s="160">
        <f>D3</f>
        <v>0.55000000000000004</v>
      </c>
    </row>
    <row r="5" spans="1:8" ht="18" customHeight="1" x14ac:dyDescent="0.25">
      <c r="A5" s="36">
        <v>16</v>
      </c>
      <c r="B5" s="30" t="s">
        <v>165</v>
      </c>
      <c r="C5" s="31"/>
      <c r="D5" s="183">
        <f t="shared" si="0"/>
        <v>0.16</v>
      </c>
      <c r="G5" s="161" t="s">
        <v>166</v>
      </c>
      <c r="H5" s="160">
        <f>1-H4</f>
        <v>0.44999999999999996</v>
      </c>
    </row>
    <row r="6" spans="1:8" ht="18" customHeight="1" x14ac:dyDescent="0.25">
      <c r="A6" s="36">
        <v>15</v>
      </c>
      <c r="B6" s="309" t="s">
        <v>167</v>
      </c>
      <c r="C6" s="340"/>
      <c r="D6" s="341">
        <f t="shared" si="0"/>
        <v>0.15</v>
      </c>
      <c r="G6" s="161" t="s">
        <v>168</v>
      </c>
      <c r="H6" s="160">
        <f>D5</f>
        <v>0.16</v>
      </c>
    </row>
    <row r="7" spans="1:8" ht="15" customHeight="1" x14ac:dyDescent="0.25">
      <c r="B7" s="384" t="str">
        <f>"Tingkat diskonto investasi dengan pendanaan utang "&amp;TEXT(D3,"#%")&amp;", kupon obligasi "&amp;TEXT(D4,"#%")&amp;", bunga modal sendiri "&amp;TEXT(D5,"#%")&amp;" dan Tarif Pajak "&amp;TEXT(D6,"#%")&amp;" adalah "&amp;TEXT((1-D3)*D5+(D3*(1-D6)*D6),"#,00%")</f>
        <v>Tingkat diskonto investasi dengan pendanaan utang 55%, kupon obligasi 15%, bunga modal sendiri 16% dan Tarif Pajak 15% adalah 14,21%</v>
      </c>
      <c r="C7" s="384"/>
      <c r="D7" s="384"/>
      <c r="G7" s="161" t="s">
        <v>169</v>
      </c>
      <c r="H7" s="160" t="str">
        <f>"(1 - "&amp;TEXT(D6,"#%)")&amp;" x "&amp;TEXT(D4,"#%")</f>
        <v>(1 - 15%) x 15%</v>
      </c>
    </row>
    <row r="8" spans="1:8" ht="15" customHeight="1" x14ac:dyDescent="0.25">
      <c r="B8" s="384"/>
      <c r="C8" s="384"/>
      <c r="D8" s="384"/>
      <c r="H8" s="166">
        <f>(1-D6)*D4</f>
        <v>0.1275</v>
      </c>
    </row>
    <row r="9" spans="1:8" ht="15" customHeight="1" x14ac:dyDescent="0.25">
      <c r="B9" s="384"/>
      <c r="C9" s="384"/>
      <c r="D9" s="384"/>
    </row>
    <row r="10" spans="1:8" ht="15" customHeight="1" x14ac:dyDescent="0.25">
      <c r="B10" s="384"/>
      <c r="C10" s="384"/>
      <c r="D10" s="384"/>
      <c r="F10" s="14"/>
      <c r="G10" s="1" t="s">
        <v>74</v>
      </c>
    </row>
    <row r="11" spans="1:8" ht="18" x14ac:dyDescent="0.25">
      <c r="G11" s="161" t="s">
        <v>4</v>
      </c>
      <c r="H11" s="1" t="s">
        <v>36</v>
      </c>
    </row>
    <row r="12" spans="1:8" x14ac:dyDescent="0.25">
      <c r="G12" s="161" t="s">
        <v>6</v>
      </c>
      <c r="H12" s="50" t="str">
        <f>TEXT(H5,"#%(")&amp;TEXT(D5,"#%) + ")&amp;TEXT(D3,"#%(")&amp;TEXT(H8,"#,00%)")</f>
        <v>45%(16%) + 55%(12,75%)</v>
      </c>
    </row>
    <row r="13" spans="1:8" x14ac:dyDescent="0.25">
      <c r="G13" s="161" t="s">
        <v>6</v>
      </c>
      <c r="H13" s="50" t="str">
        <f>TEXT(H5*H6,"#,000% + ")&amp;TEXT(H4*H8,"#,000%")</f>
        <v>7,200% + 7,013%</v>
      </c>
    </row>
    <row r="14" spans="1:8" ht="15" customHeight="1" x14ac:dyDescent="0.25">
      <c r="G14" s="161" t="s">
        <v>6</v>
      </c>
      <c r="H14" s="166">
        <f>H5*H6+(H4*H8)</f>
        <v>0.142125</v>
      </c>
    </row>
    <row r="15" spans="1:8" ht="19.5" customHeight="1" x14ac:dyDescent="0.25"/>
  </sheetData>
  <mergeCells count="1">
    <mergeCell ref="B7:D10"/>
  </mergeCells>
  <pageMargins left="0.7" right="0.7" top="0.75" bottom="0.75" header="0.3" footer="0.3"/>
  <ignoredErrors>
    <ignoredError sqref="H5" formula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7889" r:id="rId3" name="Scroll Bar 1">
              <controlPr defaultSize="0" autoPict="0">
                <anchor moveWithCells="1">
                  <from>
                    <xdr:col>2</xdr:col>
                    <xdr:colOff>762000</xdr:colOff>
                    <xdr:row>4</xdr:row>
                    <xdr:rowOff>28575</xdr:rowOff>
                  </from>
                  <to>
                    <xdr:col>2</xdr:col>
                    <xdr:colOff>1247775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0" r:id="rId4" name="Scroll Bar 2">
              <controlPr defaultSize="0" autoPict="0">
                <anchor moveWithCells="1">
                  <from>
                    <xdr:col>2</xdr:col>
                    <xdr:colOff>762000</xdr:colOff>
                    <xdr:row>5</xdr:row>
                    <xdr:rowOff>28575</xdr:rowOff>
                  </from>
                  <to>
                    <xdr:col>2</xdr:col>
                    <xdr:colOff>1247775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1" r:id="rId5" name="Scroll Bar 3">
              <controlPr defaultSize="0" autoPict="0">
                <anchor moveWithCells="1">
                  <from>
                    <xdr:col>2</xdr:col>
                    <xdr:colOff>762000</xdr:colOff>
                    <xdr:row>3</xdr:row>
                    <xdr:rowOff>28575</xdr:rowOff>
                  </from>
                  <to>
                    <xdr:col>2</xdr:col>
                    <xdr:colOff>1247775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2" r:id="rId6" name="Scroll Bar 4">
              <controlPr defaultSize="0" autoPict="0">
                <anchor moveWithCells="1">
                  <from>
                    <xdr:col>2</xdr:col>
                    <xdr:colOff>762000</xdr:colOff>
                    <xdr:row>2</xdr:row>
                    <xdr:rowOff>28575</xdr:rowOff>
                  </from>
                  <to>
                    <xdr:col>2</xdr:col>
                    <xdr:colOff>1247775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7"/>
  <sheetViews>
    <sheetView showGridLines="0" workbookViewId="0">
      <selection activeCell="H16" sqref="H16"/>
    </sheetView>
  </sheetViews>
  <sheetFormatPr defaultRowHeight="15" x14ac:dyDescent="0.25"/>
  <cols>
    <col min="1" max="1" width="5.85546875" style="1" customWidth="1"/>
    <col min="2" max="2" width="10.28515625" style="1" customWidth="1"/>
    <col min="3" max="3" width="18.7109375" style="1" customWidth="1"/>
    <col min="4" max="4" width="14.7109375" style="1" customWidth="1"/>
    <col min="5" max="5" width="4.28515625" style="1" customWidth="1"/>
    <col min="6" max="6" width="0.85546875" style="1" customWidth="1"/>
    <col min="7" max="7" width="6.85546875" style="1" customWidth="1"/>
    <col min="8" max="8" width="3.7109375" style="1" customWidth="1"/>
    <col min="9" max="9" width="9" style="1" customWidth="1"/>
    <col min="10" max="10" width="34.7109375" style="1" customWidth="1"/>
    <col min="11" max="11" width="5.85546875" style="1" customWidth="1"/>
    <col min="12" max="16384" width="9.140625" style="1"/>
  </cols>
  <sheetData>
    <row r="1" spans="1:10" ht="19.5" customHeight="1" x14ac:dyDescent="0.25"/>
    <row r="2" spans="1:10" ht="18.75" x14ac:dyDescent="0.25">
      <c r="B2" s="20" t="s">
        <v>37</v>
      </c>
    </row>
    <row r="3" spans="1:10" s="28" customFormat="1" ht="17.25" customHeight="1" x14ac:dyDescent="0.25">
      <c r="A3" s="19">
        <v>750</v>
      </c>
      <c r="B3" s="15" t="s">
        <v>1</v>
      </c>
      <c r="C3" s="16"/>
      <c r="D3" s="17">
        <f>A3*1000000</f>
        <v>750000000</v>
      </c>
      <c r="F3" s="13"/>
      <c r="G3" s="28" t="s">
        <v>3</v>
      </c>
    </row>
    <row r="4" spans="1:10" s="28" customFormat="1" ht="18" customHeight="1" x14ac:dyDescent="0.25">
      <c r="A4" s="19">
        <v>1000</v>
      </c>
      <c r="B4" s="15" t="s">
        <v>2</v>
      </c>
      <c r="C4" s="16"/>
      <c r="D4" s="17">
        <f>A4*10000</f>
        <v>10000000</v>
      </c>
      <c r="G4" s="10" t="s">
        <v>5</v>
      </c>
      <c r="H4" s="349">
        <f>D3</f>
        <v>750000000</v>
      </c>
      <c r="I4" s="349"/>
    </row>
    <row r="5" spans="1:10" s="28" customFormat="1" ht="18" customHeight="1" x14ac:dyDescent="0.25">
      <c r="A5" s="36">
        <v>15</v>
      </c>
      <c r="B5" s="309" t="s">
        <v>244</v>
      </c>
      <c r="C5" s="340"/>
      <c r="D5" s="342">
        <f>A5/100</f>
        <v>0.15</v>
      </c>
      <c r="G5" s="10" t="s">
        <v>38</v>
      </c>
      <c r="H5" s="349">
        <f>D4</f>
        <v>10000000</v>
      </c>
      <c r="I5" s="349"/>
    </row>
    <row r="6" spans="1:10" ht="15" customHeight="1" x14ac:dyDescent="0.25">
      <c r="B6" s="384" t="str">
        <f>"IRR ("&amp;TEXT(D4/D3*12,"#,00%")&amp;") "&amp;IF(D5&lt;D4/D3*12,"&gt; k (retur dikehendaki), usulan investasi diterima","&lt; k(retur dikehendaki), usulan investasi ditolak")</f>
        <v>IRR (16,00%) &gt; k (retur dikehendaki), usulan investasi diterima</v>
      </c>
      <c r="C6" s="384"/>
      <c r="D6" s="384"/>
    </row>
    <row r="7" spans="1:10" ht="15" customHeight="1" x14ac:dyDescent="0.25">
      <c r="B7" s="384"/>
      <c r="C7" s="384"/>
      <c r="D7" s="384"/>
      <c r="F7" s="14"/>
      <c r="G7" s="1" t="s">
        <v>40</v>
      </c>
    </row>
    <row r="8" spans="1:10" x14ac:dyDescent="0.25">
      <c r="G8" s="351" t="s">
        <v>6</v>
      </c>
      <c r="H8" s="21" t="s">
        <v>8</v>
      </c>
      <c r="I8" s="7"/>
    </row>
    <row r="9" spans="1:10" ht="18" x14ac:dyDescent="0.25">
      <c r="G9" s="351"/>
      <c r="H9" s="9" t="s">
        <v>41</v>
      </c>
    </row>
    <row r="10" spans="1:10" x14ac:dyDescent="0.25">
      <c r="G10" s="351" t="s">
        <v>6</v>
      </c>
      <c r="H10" s="362">
        <f>H5</f>
        <v>10000000</v>
      </c>
      <c r="I10" s="362"/>
    </row>
    <row r="11" spans="1:10" x14ac:dyDescent="0.25">
      <c r="G11" s="351"/>
      <c r="H11" s="350">
        <f>H4</f>
        <v>750000000</v>
      </c>
      <c r="I11" s="350"/>
    </row>
    <row r="12" spans="1:10" x14ac:dyDescent="0.25">
      <c r="G12" s="10" t="s">
        <v>6</v>
      </c>
      <c r="H12" s="385">
        <f>H10/H11</f>
        <v>1.3333333333333334E-2</v>
      </c>
      <c r="I12" s="385"/>
      <c r="J12" s="385"/>
    </row>
    <row r="13" spans="1:10" x14ac:dyDescent="0.25">
      <c r="G13" s="10" t="s">
        <v>6</v>
      </c>
      <c r="H13" s="386">
        <f>H12*12</f>
        <v>0.16</v>
      </c>
      <c r="I13" s="386"/>
    </row>
    <row r="15" spans="1:10" x14ac:dyDescent="0.25">
      <c r="F15" s="14"/>
      <c r="G15" s="1" t="s">
        <v>82</v>
      </c>
    </row>
    <row r="16" spans="1:10" x14ac:dyDescent="0.25">
      <c r="H16" s="189" t="str">
        <f>"IRR "&amp;IF(H13&gt;D5,"&gt;","&lt;")&amp;" k (return dikehendaki), usulan investasi "&amp;IF(H13&gt;D5,"diterima","ditolak")</f>
        <v>IRR &gt; k (return dikehendaki), usulan investasi diterima</v>
      </c>
    </row>
    <row r="17" ht="19.5" customHeight="1" x14ac:dyDescent="0.25"/>
  </sheetData>
  <mergeCells count="9">
    <mergeCell ref="B6:D7"/>
    <mergeCell ref="H12:J12"/>
    <mergeCell ref="G10:G11"/>
    <mergeCell ref="H13:I13"/>
    <mergeCell ref="H4:I4"/>
    <mergeCell ref="H5:I5"/>
    <mergeCell ref="G8:G9"/>
    <mergeCell ref="H10:I10"/>
    <mergeCell ref="H11:I11"/>
  </mergeCell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Scroll Bar 1">
              <controlPr defaultSize="0" autoPict="0">
                <anchor moveWithCells="1">
                  <from>
                    <xdr:col>2</xdr:col>
                    <xdr:colOff>647700</xdr:colOff>
                    <xdr:row>2</xdr:row>
                    <xdr:rowOff>47625</xdr:rowOff>
                  </from>
                  <to>
                    <xdr:col>2</xdr:col>
                    <xdr:colOff>1133475</xdr:colOff>
                    <xdr:row>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Scroll Bar 2">
              <controlPr defaultSize="0" autoPict="0">
                <anchor moveWithCells="1">
                  <from>
                    <xdr:col>2</xdr:col>
                    <xdr:colOff>647700</xdr:colOff>
                    <xdr:row>3</xdr:row>
                    <xdr:rowOff>28575</xdr:rowOff>
                  </from>
                  <to>
                    <xdr:col>2</xdr:col>
                    <xdr:colOff>1133475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Scroll Bar 3">
              <controlPr defaultSize="0" autoPict="0">
                <anchor moveWithCells="1">
                  <from>
                    <xdr:col>2</xdr:col>
                    <xdr:colOff>647700</xdr:colOff>
                    <xdr:row>4</xdr:row>
                    <xdr:rowOff>9525</xdr:rowOff>
                  </from>
                  <to>
                    <xdr:col>2</xdr:col>
                    <xdr:colOff>1133475</xdr:colOff>
                    <xdr:row>4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2</vt:i4>
      </vt:variant>
    </vt:vector>
  </HeadingPairs>
  <TitlesOfParts>
    <vt:vector size="26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  <vt:lpstr>KASUS12</vt:lpstr>
      <vt:lpstr>KASUS13</vt:lpstr>
      <vt:lpstr>KASUS14</vt:lpstr>
      <vt:lpstr>KASUS15</vt:lpstr>
      <vt:lpstr>KASUS16</vt:lpstr>
      <vt:lpstr>KASUS17</vt:lpstr>
      <vt:lpstr>KASUS18</vt:lpstr>
      <vt:lpstr>KASUS19</vt:lpstr>
      <vt:lpstr>KASUS20</vt:lpstr>
      <vt:lpstr>KASUS21</vt:lpstr>
      <vt:lpstr>KASUS22</vt:lpstr>
      <vt:lpstr>KASUS23</vt:lpstr>
      <vt:lpstr>KASUS24</vt:lpstr>
      <vt:lpstr>DISKONTO</vt:lpstr>
      <vt:lpstr>PAYBACK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2018-03-03T06:24:27Z</cp:lastPrinted>
  <dcterms:created xsi:type="dcterms:W3CDTF">2015-08-02T00:08:17Z</dcterms:created>
  <dcterms:modified xsi:type="dcterms:W3CDTF">2018-04-17T22:16:15Z</dcterms:modified>
</cp:coreProperties>
</file>